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\Publications\TRPA Mid-Lake\"/>
    </mc:Choice>
  </mc:AlternateContent>
  <bookViews>
    <workbookView xWindow="-36" yWindow="36" windowWidth="17772" windowHeight="113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Sheet1!$B$7:$M$93</definedName>
  </definedNames>
  <calcPr calcId="162913"/>
</workbook>
</file>

<file path=xl/calcChain.xml><?xml version="1.0" encoding="utf-8"?>
<calcChain xmlns="http://schemas.openxmlformats.org/spreadsheetml/2006/main">
  <c r="V158" i="1" l="1"/>
  <c r="V154" i="1"/>
  <c r="V145" i="1"/>
  <c r="T164" i="1"/>
  <c r="AA164" i="1" s="1"/>
  <c r="T163" i="1"/>
  <c r="AA163" i="1" s="1"/>
  <c r="T162" i="1"/>
  <c r="AA162" i="1" s="1"/>
  <c r="T161" i="1"/>
  <c r="AA161" i="1" s="1"/>
  <c r="T160" i="1"/>
  <c r="AA160" i="1" s="1"/>
  <c r="T159" i="1"/>
  <c r="AA159" i="1" s="1"/>
  <c r="T158" i="1"/>
  <c r="AA158" i="1" s="1"/>
  <c r="T157" i="1"/>
  <c r="AA157" i="1" s="1"/>
  <c r="T156" i="1"/>
  <c r="AA156" i="1" s="1"/>
  <c r="T155" i="1"/>
  <c r="AA155" i="1" s="1"/>
  <c r="T154" i="1"/>
  <c r="AA154" i="1" s="1"/>
  <c r="T153" i="1"/>
  <c r="AA153" i="1" s="1"/>
  <c r="T152" i="1"/>
  <c r="AA152" i="1" s="1"/>
  <c r="T151" i="1"/>
  <c r="AA151" i="1" s="1"/>
  <c r="T150" i="1"/>
  <c r="AA150" i="1" s="1"/>
  <c r="T149" i="1"/>
  <c r="AA149" i="1" s="1"/>
  <c r="T148" i="1"/>
  <c r="AA148" i="1" s="1"/>
  <c r="T146" i="1"/>
  <c r="AA146" i="1" s="1"/>
  <c r="T145" i="1"/>
  <c r="AA145" i="1" s="1"/>
  <c r="T144" i="1"/>
  <c r="AA144" i="1" s="1"/>
  <c r="S164" i="1"/>
  <c r="Z164" i="1" s="1"/>
  <c r="Q164" i="1"/>
  <c r="O164" i="1"/>
  <c r="V164" i="1" s="1"/>
  <c r="N164" i="1"/>
  <c r="P164" i="1" s="1"/>
  <c r="W164" i="1" s="1"/>
  <c r="S163" i="1"/>
  <c r="Z163" i="1" s="1"/>
  <c r="Q163" i="1"/>
  <c r="O163" i="1"/>
  <c r="N163" i="1"/>
  <c r="U163" i="1" s="1"/>
  <c r="S162" i="1"/>
  <c r="Z162" i="1" s="1"/>
  <c r="Q162" i="1"/>
  <c r="O162" i="1"/>
  <c r="V162" i="1" s="1"/>
  <c r="N162" i="1"/>
  <c r="P162" i="1" s="1"/>
  <c r="W162" i="1" s="1"/>
  <c r="S161" i="1"/>
  <c r="Z161" i="1" s="1"/>
  <c r="Q161" i="1"/>
  <c r="O161" i="1"/>
  <c r="V161" i="1" s="1"/>
  <c r="N161" i="1"/>
  <c r="U161" i="1" s="1"/>
  <c r="S160" i="1"/>
  <c r="Z160" i="1" s="1"/>
  <c r="Q160" i="1"/>
  <c r="O160" i="1"/>
  <c r="V160" i="1" s="1"/>
  <c r="N160" i="1"/>
  <c r="P160" i="1" s="1"/>
  <c r="W160" i="1" s="1"/>
  <c r="S159" i="1"/>
  <c r="Z159" i="1" s="1"/>
  <c r="Q159" i="1"/>
  <c r="O159" i="1"/>
  <c r="N159" i="1"/>
  <c r="U159" i="1" s="1"/>
  <c r="S158" i="1"/>
  <c r="Z158" i="1" s="1"/>
  <c r="Q158" i="1"/>
  <c r="O158" i="1"/>
  <c r="N158" i="1"/>
  <c r="P158" i="1" s="1"/>
  <c r="W158" i="1" s="1"/>
  <c r="S157" i="1"/>
  <c r="Z157" i="1" s="1"/>
  <c r="Q157" i="1"/>
  <c r="O157" i="1"/>
  <c r="V157" i="1" s="1"/>
  <c r="N157" i="1"/>
  <c r="U157" i="1" s="1"/>
  <c r="S156" i="1"/>
  <c r="Z156" i="1" s="1"/>
  <c r="Q156" i="1"/>
  <c r="O156" i="1"/>
  <c r="V156" i="1" s="1"/>
  <c r="N156" i="1"/>
  <c r="P156" i="1" s="1"/>
  <c r="W156" i="1" s="1"/>
  <c r="S155" i="1"/>
  <c r="Z155" i="1" s="1"/>
  <c r="Q155" i="1"/>
  <c r="O155" i="1"/>
  <c r="N155" i="1"/>
  <c r="U155" i="1" s="1"/>
  <c r="S154" i="1"/>
  <c r="Z154" i="1" s="1"/>
  <c r="Q154" i="1"/>
  <c r="O154" i="1"/>
  <c r="N154" i="1"/>
  <c r="P154" i="1" s="1"/>
  <c r="W154" i="1" s="1"/>
  <c r="S153" i="1"/>
  <c r="Z153" i="1" s="1"/>
  <c r="Q153" i="1"/>
  <c r="O153" i="1"/>
  <c r="V153" i="1" s="1"/>
  <c r="N153" i="1"/>
  <c r="U153" i="1" s="1"/>
  <c r="S152" i="1"/>
  <c r="Z152" i="1" s="1"/>
  <c r="Q152" i="1"/>
  <c r="O152" i="1"/>
  <c r="V152" i="1" s="1"/>
  <c r="N152" i="1"/>
  <c r="P152" i="1" s="1"/>
  <c r="W152" i="1" s="1"/>
  <c r="S151" i="1"/>
  <c r="Z151" i="1" s="1"/>
  <c r="Q151" i="1"/>
  <c r="O151" i="1"/>
  <c r="N151" i="1"/>
  <c r="U151" i="1" s="1"/>
  <c r="S150" i="1"/>
  <c r="Z150" i="1" s="1"/>
  <c r="Q150" i="1"/>
  <c r="O150" i="1"/>
  <c r="V150" i="1" s="1"/>
  <c r="N150" i="1"/>
  <c r="P150" i="1" s="1"/>
  <c r="W150" i="1" s="1"/>
  <c r="S149" i="1"/>
  <c r="Z149" i="1" s="1"/>
  <c r="Q149" i="1"/>
  <c r="O149" i="1"/>
  <c r="N149" i="1"/>
  <c r="U149" i="1" s="1"/>
  <c r="S148" i="1"/>
  <c r="Z148" i="1" s="1"/>
  <c r="Q148" i="1"/>
  <c r="O148" i="1"/>
  <c r="V148" i="1" s="1"/>
  <c r="N148" i="1"/>
  <c r="P148" i="1" s="1"/>
  <c r="W148" i="1" s="1"/>
  <c r="S146" i="1"/>
  <c r="Z146" i="1" s="1"/>
  <c r="Q146" i="1"/>
  <c r="O146" i="1"/>
  <c r="V146" i="1" s="1"/>
  <c r="N146" i="1"/>
  <c r="P146" i="1" s="1"/>
  <c r="W146" i="1" s="1"/>
  <c r="S145" i="1"/>
  <c r="Z145" i="1" s="1"/>
  <c r="Q145" i="1"/>
  <c r="O145" i="1"/>
  <c r="N145" i="1"/>
  <c r="U145" i="1" s="1"/>
  <c r="S144" i="1"/>
  <c r="Z144" i="1" s="1"/>
  <c r="Q144" i="1"/>
  <c r="O144" i="1"/>
  <c r="V144" i="1" s="1"/>
  <c r="N144" i="1"/>
  <c r="P144" i="1" s="1"/>
  <c r="W144" i="1" s="1"/>
  <c r="R144" i="1" l="1"/>
  <c r="Y144" i="1" s="1"/>
  <c r="R145" i="1"/>
  <c r="Y145" i="1" s="1"/>
  <c r="R146" i="1"/>
  <c r="Y146" i="1" s="1"/>
  <c r="R148" i="1"/>
  <c r="Y148" i="1" s="1"/>
  <c r="R149" i="1"/>
  <c r="Y149" i="1" s="1"/>
  <c r="R150" i="1"/>
  <c r="Y150" i="1" s="1"/>
  <c r="R151" i="1"/>
  <c r="Y151" i="1" s="1"/>
  <c r="R152" i="1"/>
  <c r="Y152" i="1" s="1"/>
  <c r="R153" i="1"/>
  <c r="Y153" i="1" s="1"/>
  <c r="R154" i="1"/>
  <c r="Y154" i="1" s="1"/>
  <c r="R155" i="1"/>
  <c r="Y155" i="1" s="1"/>
  <c r="R156" i="1"/>
  <c r="Y156" i="1" s="1"/>
  <c r="R157" i="1"/>
  <c r="Y157" i="1" s="1"/>
  <c r="R158" i="1"/>
  <c r="Y158" i="1" s="1"/>
  <c r="R159" i="1"/>
  <c r="Y159" i="1" s="1"/>
  <c r="R160" i="1"/>
  <c r="Y160" i="1" s="1"/>
  <c r="R161" i="1"/>
  <c r="Y161" i="1" s="1"/>
  <c r="R162" i="1"/>
  <c r="Y162" i="1" s="1"/>
  <c r="R163" i="1"/>
  <c r="Y163" i="1" s="1"/>
  <c r="R164" i="1"/>
  <c r="Y164" i="1" s="1"/>
  <c r="X145" i="1"/>
  <c r="U146" i="1"/>
  <c r="X152" i="1"/>
  <c r="X156" i="1"/>
  <c r="X160" i="1"/>
  <c r="X164" i="1"/>
  <c r="X144" i="1"/>
  <c r="X149" i="1"/>
  <c r="U150" i="1"/>
  <c r="X151" i="1"/>
  <c r="U152" i="1"/>
  <c r="X155" i="1"/>
  <c r="U156" i="1"/>
  <c r="X159" i="1"/>
  <c r="U160" i="1"/>
  <c r="X163" i="1"/>
  <c r="U164" i="1"/>
  <c r="U144" i="1"/>
  <c r="X148" i="1"/>
  <c r="X154" i="1"/>
  <c r="X158" i="1"/>
  <c r="X162" i="1"/>
  <c r="P145" i="1"/>
  <c r="W145" i="1" s="1"/>
  <c r="P149" i="1"/>
  <c r="W149" i="1" s="1"/>
  <c r="P151" i="1"/>
  <c r="W151" i="1" s="1"/>
  <c r="P153" i="1"/>
  <c r="W153" i="1" s="1"/>
  <c r="P155" i="1"/>
  <c r="W155" i="1" s="1"/>
  <c r="P157" i="1"/>
  <c r="W157" i="1" s="1"/>
  <c r="P159" i="1"/>
  <c r="W159" i="1" s="1"/>
  <c r="P161" i="1"/>
  <c r="W161" i="1" s="1"/>
  <c r="P163" i="1"/>
  <c r="W163" i="1" s="1"/>
  <c r="X146" i="1"/>
  <c r="U148" i="1"/>
  <c r="V149" i="1"/>
  <c r="V151" i="1"/>
  <c r="X153" i="1"/>
  <c r="U154" i="1"/>
  <c r="V155" i="1"/>
  <c r="X157" i="1"/>
  <c r="U158" i="1"/>
  <c r="V159" i="1"/>
  <c r="X161" i="1"/>
  <c r="U162" i="1"/>
  <c r="V163" i="1"/>
  <c r="X150" i="1"/>
  <c r="E165" i="1"/>
  <c r="E163" i="1"/>
  <c r="E162" i="1"/>
  <c r="E161" i="1"/>
  <c r="E160" i="1"/>
  <c r="E159" i="1"/>
  <c r="E158" i="1"/>
  <c r="E157" i="1"/>
  <c r="E156" i="1"/>
  <c r="E155" i="1"/>
  <c r="E154" i="1"/>
  <c r="E153" i="1"/>
  <c r="E150" i="1"/>
  <c r="T141" i="1" l="1"/>
  <c r="AA141" i="1" s="1"/>
  <c r="S141" i="1"/>
  <c r="Z141" i="1" s="1"/>
  <c r="Q141" i="1"/>
  <c r="O141" i="1"/>
  <c r="V141" i="1" s="1"/>
  <c r="N141" i="1"/>
  <c r="U141" i="1" s="1"/>
  <c r="T140" i="1"/>
  <c r="AA140" i="1" s="1"/>
  <c r="S140" i="1"/>
  <c r="Z140" i="1" s="1"/>
  <c r="Q140" i="1"/>
  <c r="X140" i="1" s="1"/>
  <c r="O140" i="1"/>
  <c r="V140" i="1" s="1"/>
  <c r="N140" i="1"/>
  <c r="U140" i="1" s="1"/>
  <c r="T139" i="1"/>
  <c r="AA139" i="1" s="1"/>
  <c r="S139" i="1"/>
  <c r="Z139" i="1" s="1"/>
  <c r="Q139" i="1"/>
  <c r="X139" i="1" s="1"/>
  <c r="O139" i="1"/>
  <c r="V139" i="1" s="1"/>
  <c r="N139" i="1"/>
  <c r="U139" i="1" s="1"/>
  <c r="T138" i="1"/>
  <c r="AA138" i="1" s="1"/>
  <c r="S138" i="1"/>
  <c r="Z138" i="1" s="1"/>
  <c r="Q138" i="1"/>
  <c r="X138" i="1" s="1"/>
  <c r="O138" i="1"/>
  <c r="V138" i="1" s="1"/>
  <c r="N138" i="1"/>
  <c r="U138" i="1" s="1"/>
  <c r="T136" i="1"/>
  <c r="AA136" i="1" s="1"/>
  <c r="S136" i="1"/>
  <c r="Z136" i="1" s="1"/>
  <c r="Q136" i="1"/>
  <c r="X136" i="1" s="1"/>
  <c r="O136" i="1"/>
  <c r="V136" i="1" s="1"/>
  <c r="N136" i="1"/>
  <c r="U136" i="1" s="1"/>
  <c r="T135" i="1"/>
  <c r="AA135" i="1" s="1"/>
  <c r="S135" i="1"/>
  <c r="Z135" i="1" s="1"/>
  <c r="Q135" i="1"/>
  <c r="X135" i="1" s="1"/>
  <c r="O135" i="1"/>
  <c r="V135" i="1" s="1"/>
  <c r="N135" i="1"/>
  <c r="U135" i="1" s="1"/>
  <c r="T134" i="1"/>
  <c r="AA134" i="1" s="1"/>
  <c r="S134" i="1"/>
  <c r="Z134" i="1" s="1"/>
  <c r="Q134" i="1"/>
  <c r="X134" i="1" s="1"/>
  <c r="O134" i="1"/>
  <c r="V134" i="1" s="1"/>
  <c r="N134" i="1"/>
  <c r="U134" i="1" s="1"/>
  <c r="T133" i="1"/>
  <c r="AA133" i="1" s="1"/>
  <c r="S133" i="1"/>
  <c r="Z133" i="1" s="1"/>
  <c r="Q133" i="1"/>
  <c r="O133" i="1"/>
  <c r="V133" i="1" s="1"/>
  <c r="N133" i="1"/>
  <c r="U133" i="1" s="1"/>
  <c r="T132" i="1"/>
  <c r="AA132" i="1" s="1"/>
  <c r="S132" i="1"/>
  <c r="Z132" i="1" s="1"/>
  <c r="Q132" i="1"/>
  <c r="X132" i="1" s="1"/>
  <c r="O132" i="1"/>
  <c r="V132" i="1" s="1"/>
  <c r="N132" i="1"/>
  <c r="U132" i="1" s="1"/>
  <c r="T131" i="1"/>
  <c r="AA131" i="1" s="1"/>
  <c r="S131" i="1"/>
  <c r="Z131" i="1" s="1"/>
  <c r="Q131" i="1"/>
  <c r="O131" i="1"/>
  <c r="V131" i="1" s="1"/>
  <c r="N131" i="1"/>
  <c r="U131" i="1" s="1"/>
  <c r="T130" i="1"/>
  <c r="AA130" i="1" s="1"/>
  <c r="S130" i="1"/>
  <c r="Z130" i="1" s="1"/>
  <c r="Q130" i="1"/>
  <c r="X130" i="1" s="1"/>
  <c r="O130" i="1"/>
  <c r="V130" i="1" s="1"/>
  <c r="N130" i="1"/>
  <c r="U130" i="1" s="1"/>
  <c r="T129" i="1"/>
  <c r="AA129" i="1" s="1"/>
  <c r="S129" i="1"/>
  <c r="Z129" i="1" s="1"/>
  <c r="Q129" i="1"/>
  <c r="O129" i="1"/>
  <c r="V129" i="1" s="1"/>
  <c r="N129" i="1"/>
  <c r="U129" i="1" s="1"/>
  <c r="T128" i="1"/>
  <c r="AA128" i="1" s="1"/>
  <c r="S128" i="1"/>
  <c r="Z128" i="1" s="1"/>
  <c r="Q128" i="1"/>
  <c r="X128" i="1" s="1"/>
  <c r="O128" i="1"/>
  <c r="V128" i="1" s="1"/>
  <c r="N128" i="1"/>
  <c r="U128" i="1" s="1"/>
  <c r="T127" i="1"/>
  <c r="AA127" i="1" s="1"/>
  <c r="S127" i="1"/>
  <c r="Z127" i="1" s="1"/>
  <c r="Q127" i="1"/>
  <c r="X127" i="1" s="1"/>
  <c r="O127" i="1"/>
  <c r="V127" i="1" s="1"/>
  <c r="N127" i="1"/>
  <c r="U127" i="1" s="1"/>
  <c r="T125" i="1"/>
  <c r="AA125" i="1" s="1"/>
  <c r="S125" i="1"/>
  <c r="Z125" i="1" s="1"/>
  <c r="Q125" i="1"/>
  <c r="X125" i="1" s="1"/>
  <c r="O125" i="1"/>
  <c r="V125" i="1" s="1"/>
  <c r="N125" i="1"/>
  <c r="U125" i="1" s="1"/>
  <c r="S124" i="1"/>
  <c r="Z124" i="1" s="1"/>
  <c r="O124" i="1"/>
  <c r="V124" i="1" s="1"/>
  <c r="N124" i="1"/>
  <c r="U124" i="1" s="1"/>
  <c r="T122" i="1"/>
  <c r="AA122" i="1" s="1"/>
  <c r="S122" i="1"/>
  <c r="Z122" i="1" s="1"/>
  <c r="Q122" i="1"/>
  <c r="X122" i="1" s="1"/>
  <c r="O122" i="1"/>
  <c r="V122" i="1" s="1"/>
  <c r="N122" i="1"/>
  <c r="U122" i="1" s="1"/>
  <c r="T121" i="1"/>
  <c r="AA121" i="1" s="1"/>
  <c r="S121" i="1"/>
  <c r="Z121" i="1" s="1"/>
  <c r="Q121" i="1"/>
  <c r="X121" i="1" s="1"/>
  <c r="O121" i="1"/>
  <c r="V121" i="1" s="1"/>
  <c r="N121" i="1"/>
  <c r="U121" i="1" s="1"/>
  <c r="T120" i="1"/>
  <c r="AA120" i="1" s="1"/>
  <c r="S120" i="1"/>
  <c r="Z120" i="1" s="1"/>
  <c r="Q120" i="1"/>
  <c r="O120" i="1"/>
  <c r="V120" i="1" s="1"/>
  <c r="N120" i="1"/>
  <c r="U120" i="1" s="1"/>
  <c r="T119" i="1"/>
  <c r="AA119" i="1" s="1"/>
  <c r="S119" i="1"/>
  <c r="Z119" i="1" s="1"/>
  <c r="Q119" i="1"/>
  <c r="X119" i="1" s="1"/>
  <c r="O119" i="1"/>
  <c r="V119" i="1" s="1"/>
  <c r="N119" i="1"/>
  <c r="U119" i="1" s="1"/>
  <c r="T118" i="1"/>
  <c r="AA118" i="1" s="1"/>
  <c r="S118" i="1"/>
  <c r="Z118" i="1" s="1"/>
  <c r="Q118" i="1"/>
  <c r="O118" i="1"/>
  <c r="V118" i="1" s="1"/>
  <c r="N118" i="1"/>
  <c r="U118" i="1" s="1"/>
  <c r="R131" i="1" l="1"/>
  <c r="Y131" i="1" s="1"/>
  <c r="R133" i="1"/>
  <c r="Y133" i="1" s="1"/>
  <c r="P124" i="1"/>
  <c r="W124" i="1" s="1"/>
  <c r="R141" i="1"/>
  <c r="Y141" i="1" s="1"/>
  <c r="R129" i="1"/>
  <c r="Y129" i="1" s="1"/>
  <c r="P131" i="1"/>
  <c r="W131" i="1" s="1"/>
  <c r="P129" i="1"/>
  <c r="W129" i="1" s="1"/>
  <c r="X133" i="1"/>
  <c r="P141" i="1"/>
  <c r="W141" i="1" s="1"/>
  <c r="P118" i="1"/>
  <c r="W118" i="1" s="1"/>
  <c r="P127" i="1"/>
  <c r="W127" i="1" s="1"/>
  <c r="X131" i="1"/>
  <c r="P135" i="1"/>
  <c r="W135" i="1" s="1"/>
  <c r="P139" i="1"/>
  <c r="W139" i="1" s="1"/>
  <c r="R118" i="1"/>
  <c r="Y118" i="1" s="1"/>
  <c r="R120" i="1"/>
  <c r="Y120" i="1" s="1"/>
  <c r="R127" i="1"/>
  <c r="Y127" i="1" s="1"/>
  <c r="X129" i="1"/>
  <c r="P133" i="1"/>
  <c r="W133" i="1" s="1"/>
  <c r="R135" i="1"/>
  <c r="Y135" i="1" s="1"/>
  <c r="R139" i="1"/>
  <c r="Y139" i="1" s="1"/>
  <c r="X141" i="1"/>
  <c r="X120" i="1"/>
  <c r="X118" i="1"/>
  <c r="P122" i="1"/>
  <c r="W122" i="1" s="1"/>
  <c r="P120" i="1"/>
  <c r="W120" i="1" s="1"/>
  <c r="R122" i="1"/>
  <c r="Y122" i="1" s="1"/>
  <c r="R138" i="1"/>
  <c r="Y138" i="1" s="1"/>
  <c r="R140" i="1"/>
  <c r="Y140" i="1" s="1"/>
  <c r="P138" i="1"/>
  <c r="W138" i="1" s="1"/>
  <c r="P140" i="1"/>
  <c r="W140" i="1" s="1"/>
  <c r="R128" i="1"/>
  <c r="Y128" i="1" s="1"/>
  <c r="R130" i="1"/>
  <c r="Y130" i="1" s="1"/>
  <c r="R132" i="1"/>
  <c r="Y132" i="1" s="1"/>
  <c r="R134" i="1"/>
  <c r="Y134" i="1" s="1"/>
  <c r="R136" i="1"/>
  <c r="Y136" i="1" s="1"/>
  <c r="P128" i="1"/>
  <c r="W128" i="1" s="1"/>
  <c r="P130" i="1"/>
  <c r="W130" i="1" s="1"/>
  <c r="P132" i="1"/>
  <c r="W132" i="1" s="1"/>
  <c r="P134" i="1"/>
  <c r="W134" i="1" s="1"/>
  <c r="P136" i="1"/>
  <c r="W136" i="1" s="1"/>
  <c r="R125" i="1"/>
  <c r="Y125" i="1" s="1"/>
  <c r="P125" i="1"/>
  <c r="W125" i="1" s="1"/>
  <c r="R119" i="1"/>
  <c r="Y119" i="1" s="1"/>
  <c r="R121" i="1"/>
  <c r="Y121" i="1" s="1"/>
  <c r="P119" i="1"/>
  <c r="W119" i="1" s="1"/>
  <c r="P121" i="1"/>
  <c r="W121" i="1" s="1"/>
  <c r="E139" i="1"/>
  <c r="E138" i="1"/>
  <c r="E136" i="1"/>
  <c r="E134" i="1"/>
  <c r="E129" i="1"/>
  <c r="E128" i="1"/>
  <c r="E126" i="1"/>
  <c r="E125" i="1"/>
  <c r="E123" i="1"/>
  <c r="E122" i="1"/>
  <c r="E120" i="1"/>
  <c r="O112" i="1" l="1"/>
  <c r="V112" i="1" s="1"/>
  <c r="T112" i="1" l="1"/>
  <c r="AA112" i="1" s="1"/>
  <c r="T111" i="1"/>
  <c r="AA111" i="1" s="1"/>
  <c r="T110" i="1"/>
  <c r="AA110" i="1" s="1"/>
  <c r="T109" i="1"/>
  <c r="AA109" i="1" s="1"/>
  <c r="T108" i="1"/>
  <c r="AA108" i="1" s="1"/>
  <c r="T107" i="1"/>
  <c r="AA107" i="1" s="1"/>
  <c r="T106" i="1"/>
  <c r="AA106" i="1" s="1"/>
  <c r="T105" i="1"/>
  <c r="AA105" i="1" s="1"/>
  <c r="T104" i="1"/>
  <c r="AA104" i="1" s="1"/>
  <c r="T103" i="1"/>
  <c r="AA103" i="1" s="1"/>
  <c r="T102" i="1"/>
  <c r="AA102" i="1" s="1"/>
  <c r="T101" i="1"/>
  <c r="AA101" i="1" s="1"/>
  <c r="T100" i="1"/>
  <c r="AA100" i="1" s="1"/>
  <c r="T97" i="1"/>
  <c r="AA97" i="1" s="1"/>
  <c r="T96" i="1"/>
  <c r="AA96" i="1" s="1"/>
  <c r="T94" i="1"/>
  <c r="AA94" i="1" s="1"/>
  <c r="S112" i="1"/>
  <c r="Z112" i="1" s="1"/>
  <c r="S111" i="1"/>
  <c r="Z111" i="1" s="1"/>
  <c r="S110" i="1"/>
  <c r="Z110" i="1" s="1"/>
  <c r="S109" i="1"/>
  <c r="Z109" i="1" s="1"/>
  <c r="S108" i="1"/>
  <c r="Z108" i="1" s="1"/>
  <c r="S107" i="1"/>
  <c r="Z107" i="1" s="1"/>
  <c r="S106" i="1"/>
  <c r="Z106" i="1" s="1"/>
  <c r="S105" i="1"/>
  <c r="Z105" i="1" s="1"/>
  <c r="S104" i="1"/>
  <c r="Z104" i="1" s="1"/>
  <c r="S103" i="1"/>
  <c r="Z103" i="1" s="1"/>
  <c r="S102" i="1"/>
  <c r="Z102" i="1" s="1"/>
  <c r="S101" i="1"/>
  <c r="Z101" i="1" s="1"/>
  <c r="S100" i="1"/>
  <c r="Z100" i="1" s="1"/>
  <c r="S97" i="1"/>
  <c r="Z97" i="1" s="1"/>
  <c r="S96" i="1"/>
  <c r="Z96" i="1" s="1"/>
  <c r="S94" i="1"/>
  <c r="Z94" i="1" s="1"/>
  <c r="Q112" i="1"/>
  <c r="X112" i="1" s="1"/>
  <c r="Q111" i="1"/>
  <c r="X111" i="1" s="1"/>
  <c r="Q110" i="1"/>
  <c r="X110" i="1" s="1"/>
  <c r="Q109" i="1"/>
  <c r="X109" i="1" s="1"/>
  <c r="Q108" i="1"/>
  <c r="X108" i="1" s="1"/>
  <c r="Q107" i="1"/>
  <c r="X107" i="1" s="1"/>
  <c r="Q106" i="1"/>
  <c r="X106" i="1" s="1"/>
  <c r="Q105" i="1"/>
  <c r="X105" i="1" s="1"/>
  <c r="Q104" i="1"/>
  <c r="X104" i="1" s="1"/>
  <c r="Q103" i="1"/>
  <c r="X103" i="1" s="1"/>
  <c r="Q102" i="1"/>
  <c r="X102" i="1" s="1"/>
  <c r="Q101" i="1"/>
  <c r="X101" i="1" s="1"/>
  <c r="Q100" i="1"/>
  <c r="X100" i="1" s="1"/>
  <c r="Q97" i="1"/>
  <c r="X97" i="1" s="1"/>
  <c r="Q96" i="1"/>
  <c r="X96" i="1" s="1"/>
  <c r="Q94" i="1"/>
  <c r="O111" i="1"/>
  <c r="V111" i="1" s="1"/>
  <c r="O110" i="1"/>
  <c r="V110" i="1" s="1"/>
  <c r="O109" i="1"/>
  <c r="V109" i="1" s="1"/>
  <c r="O108" i="1"/>
  <c r="V108" i="1" s="1"/>
  <c r="O107" i="1"/>
  <c r="V107" i="1" s="1"/>
  <c r="O106" i="1"/>
  <c r="V106" i="1" s="1"/>
  <c r="O105" i="1"/>
  <c r="V105" i="1" s="1"/>
  <c r="O104" i="1"/>
  <c r="V104" i="1" s="1"/>
  <c r="O103" i="1"/>
  <c r="V103" i="1" s="1"/>
  <c r="O102" i="1"/>
  <c r="V102" i="1" s="1"/>
  <c r="O101" i="1"/>
  <c r="V101" i="1" s="1"/>
  <c r="O100" i="1"/>
  <c r="V100" i="1" s="1"/>
  <c r="O97" i="1"/>
  <c r="V97" i="1" s="1"/>
  <c r="O96" i="1"/>
  <c r="V96" i="1" s="1"/>
  <c r="O94" i="1"/>
  <c r="V94" i="1" s="1"/>
  <c r="X94" i="1" l="1"/>
  <c r="N112" i="1"/>
  <c r="N111" i="1"/>
  <c r="N110" i="1"/>
  <c r="N109" i="1"/>
  <c r="U109" i="1" s="1"/>
  <c r="N108" i="1"/>
  <c r="N107" i="1"/>
  <c r="N106" i="1"/>
  <c r="N105" i="1"/>
  <c r="N104" i="1"/>
  <c r="N103" i="1"/>
  <c r="N102" i="1"/>
  <c r="U102" i="1" s="1"/>
  <c r="N101" i="1"/>
  <c r="N100" i="1"/>
  <c r="N97" i="1"/>
  <c r="N96" i="1"/>
  <c r="N94" i="1"/>
  <c r="E113" i="1"/>
  <c r="E112" i="1"/>
  <c r="E111" i="1"/>
  <c r="E110" i="1"/>
  <c r="E108" i="1"/>
  <c r="E107" i="1"/>
  <c r="E106" i="1"/>
  <c r="E105" i="1"/>
  <c r="E104" i="1"/>
  <c r="E99" i="1"/>
  <c r="U94" i="1" l="1"/>
  <c r="P94" i="1"/>
  <c r="W94" i="1" s="1"/>
  <c r="U101" i="1"/>
  <c r="P101" i="1"/>
  <c r="W101" i="1" s="1"/>
  <c r="R101" i="1"/>
  <c r="Y101" i="1" s="1"/>
  <c r="U104" i="1"/>
  <c r="R104" i="1"/>
  <c r="Y104" i="1" s="1"/>
  <c r="P104" i="1"/>
  <c r="W104" i="1" s="1"/>
  <c r="U108" i="1"/>
  <c r="P108" i="1"/>
  <c r="W108" i="1" s="1"/>
  <c r="R108" i="1"/>
  <c r="Y108" i="1" s="1"/>
  <c r="U111" i="1"/>
  <c r="P111" i="1"/>
  <c r="W111" i="1" s="1"/>
  <c r="R111" i="1"/>
  <c r="Y111" i="1" s="1"/>
  <c r="R94" i="1"/>
  <c r="Y94" i="1" s="1"/>
  <c r="U96" i="1"/>
  <c r="R96" i="1"/>
  <c r="Y96" i="1" s="1"/>
  <c r="P96" i="1"/>
  <c r="W96" i="1" s="1"/>
  <c r="U105" i="1"/>
  <c r="P105" i="1"/>
  <c r="W105" i="1" s="1"/>
  <c r="R105" i="1"/>
  <c r="Y105" i="1" s="1"/>
  <c r="U112" i="1"/>
  <c r="P112" i="1"/>
  <c r="W112" i="1" s="1"/>
  <c r="R112" i="1"/>
  <c r="Y112" i="1" s="1"/>
  <c r="U97" i="1"/>
  <c r="P97" i="1"/>
  <c r="W97" i="1" s="1"/>
  <c r="R97" i="1"/>
  <c r="Y97" i="1" s="1"/>
  <c r="P102" i="1"/>
  <c r="W102" i="1" s="1"/>
  <c r="R102" i="1"/>
  <c r="Y102" i="1" s="1"/>
  <c r="U106" i="1"/>
  <c r="P106" i="1"/>
  <c r="W106" i="1" s="1"/>
  <c r="R106" i="1"/>
  <c r="Y106" i="1" s="1"/>
  <c r="P109" i="1"/>
  <c r="W109" i="1" s="1"/>
  <c r="R109" i="1"/>
  <c r="Y109" i="1" s="1"/>
  <c r="U100" i="1"/>
  <c r="R100" i="1"/>
  <c r="Y100" i="1" s="1"/>
  <c r="P100" i="1"/>
  <c r="W100" i="1" s="1"/>
  <c r="U103" i="1"/>
  <c r="P103" i="1"/>
  <c r="W103" i="1" s="1"/>
  <c r="R103" i="1"/>
  <c r="Y103" i="1" s="1"/>
  <c r="U107" i="1"/>
  <c r="P107" i="1"/>
  <c r="W107" i="1" s="1"/>
  <c r="R107" i="1"/>
  <c r="Y107" i="1" s="1"/>
  <c r="U110" i="1"/>
  <c r="R110" i="1"/>
  <c r="Y110" i="1" s="1"/>
  <c r="P110" i="1"/>
  <c r="W110" i="1" s="1"/>
  <c r="A175" i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T93" i="1" l="1"/>
  <c r="AA93" i="1" s="1"/>
  <c r="S93" i="1"/>
  <c r="Z93" i="1" s="1"/>
  <c r="Q93" i="1"/>
  <c r="X93" i="1" s="1"/>
  <c r="O93" i="1"/>
  <c r="V93" i="1" s="1"/>
  <c r="N93" i="1"/>
  <c r="U93" i="1" s="1"/>
  <c r="T91" i="1"/>
  <c r="AA91" i="1" s="1"/>
  <c r="S91" i="1"/>
  <c r="Z91" i="1" s="1"/>
  <c r="Q91" i="1"/>
  <c r="X91" i="1" s="1"/>
  <c r="O91" i="1"/>
  <c r="V91" i="1" s="1"/>
  <c r="N91" i="1"/>
  <c r="T90" i="1"/>
  <c r="AA90" i="1" s="1"/>
  <c r="S90" i="1"/>
  <c r="Z90" i="1" s="1"/>
  <c r="Q90" i="1"/>
  <c r="X90" i="1" s="1"/>
  <c r="O90" i="1"/>
  <c r="N90" i="1"/>
  <c r="U90" i="1" s="1"/>
  <c r="T89" i="1"/>
  <c r="AA89" i="1" s="1"/>
  <c r="S89" i="1"/>
  <c r="Z89" i="1" s="1"/>
  <c r="Q89" i="1"/>
  <c r="X89" i="1" s="1"/>
  <c r="O89" i="1"/>
  <c r="V89" i="1" s="1"/>
  <c r="N89" i="1"/>
  <c r="U89" i="1" s="1"/>
  <c r="T88" i="1"/>
  <c r="AA88" i="1" s="1"/>
  <c r="S88" i="1"/>
  <c r="Z88" i="1" s="1"/>
  <c r="Q88" i="1"/>
  <c r="X88" i="1" s="1"/>
  <c r="O88" i="1"/>
  <c r="V88" i="1" s="1"/>
  <c r="N88" i="1"/>
  <c r="T87" i="1"/>
  <c r="AA87" i="1" s="1"/>
  <c r="S87" i="1"/>
  <c r="Z87" i="1" s="1"/>
  <c r="Q87" i="1"/>
  <c r="X87" i="1" s="1"/>
  <c r="O87" i="1"/>
  <c r="N87" i="1"/>
  <c r="U87" i="1" s="1"/>
  <c r="T86" i="1"/>
  <c r="AA86" i="1" s="1"/>
  <c r="S86" i="1"/>
  <c r="Z86" i="1" s="1"/>
  <c r="Q86" i="1"/>
  <c r="X86" i="1" s="1"/>
  <c r="O86" i="1"/>
  <c r="N86" i="1"/>
  <c r="U86" i="1" s="1"/>
  <c r="T85" i="1"/>
  <c r="AA85" i="1" s="1"/>
  <c r="S85" i="1"/>
  <c r="Z85" i="1" s="1"/>
  <c r="Q85" i="1"/>
  <c r="X85" i="1" s="1"/>
  <c r="O85" i="1"/>
  <c r="V85" i="1" s="1"/>
  <c r="N85" i="1"/>
  <c r="T84" i="1"/>
  <c r="AA84" i="1" s="1"/>
  <c r="S84" i="1"/>
  <c r="Z84" i="1" s="1"/>
  <c r="Q84" i="1"/>
  <c r="X84" i="1" s="1"/>
  <c r="O84" i="1"/>
  <c r="V84" i="1" s="1"/>
  <c r="N84" i="1"/>
  <c r="T83" i="1"/>
  <c r="AA83" i="1" s="1"/>
  <c r="S83" i="1"/>
  <c r="Z83" i="1" s="1"/>
  <c r="Q83" i="1"/>
  <c r="O83" i="1"/>
  <c r="V83" i="1" s="1"/>
  <c r="N83" i="1"/>
  <c r="U83" i="1" s="1"/>
  <c r="T82" i="1"/>
  <c r="AA82" i="1" s="1"/>
  <c r="S82" i="1"/>
  <c r="Z82" i="1" s="1"/>
  <c r="Q82" i="1"/>
  <c r="X82" i="1" s="1"/>
  <c r="O82" i="1"/>
  <c r="V82" i="1" s="1"/>
  <c r="N82" i="1"/>
  <c r="T81" i="1"/>
  <c r="AA81" i="1" s="1"/>
  <c r="S81" i="1"/>
  <c r="Z81" i="1" s="1"/>
  <c r="Q81" i="1"/>
  <c r="X81" i="1" s="1"/>
  <c r="O81" i="1"/>
  <c r="V81" i="1" s="1"/>
  <c r="N81" i="1"/>
  <c r="T80" i="1"/>
  <c r="AA80" i="1" s="1"/>
  <c r="S80" i="1"/>
  <c r="Z80" i="1" s="1"/>
  <c r="Q80" i="1"/>
  <c r="O80" i="1"/>
  <c r="V80" i="1" s="1"/>
  <c r="N80" i="1"/>
  <c r="U80" i="1" s="1"/>
  <c r="T79" i="1"/>
  <c r="AA79" i="1" s="1"/>
  <c r="S79" i="1"/>
  <c r="Z79" i="1" s="1"/>
  <c r="Q79" i="1"/>
  <c r="O79" i="1"/>
  <c r="V79" i="1" s="1"/>
  <c r="N79" i="1"/>
  <c r="T78" i="1"/>
  <c r="AA78" i="1" s="1"/>
  <c r="S78" i="1"/>
  <c r="Z78" i="1" s="1"/>
  <c r="Q78" i="1"/>
  <c r="X78" i="1" s="1"/>
  <c r="O78" i="1"/>
  <c r="V78" i="1" s="1"/>
  <c r="N78" i="1"/>
  <c r="T77" i="1"/>
  <c r="AA77" i="1" s="1"/>
  <c r="S77" i="1"/>
  <c r="Z77" i="1" s="1"/>
  <c r="Q77" i="1"/>
  <c r="X77" i="1" s="1"/>
  <c r="O77" i="1"/>
  <c r="V77" i="1" s="1"/>
  <c r="N77" i="1"/>
  <c r="U77" i="1" s="1"/>
  <c r="T76" i="1"/>
  <c r="AA76" i="1" s="1"/>
  <c r="S76" i="1"/>
  <c r="Z76" i="1" s="1"/>
  <c r="Q76" i="1"/>
  <c r="O76" i="1"/>
  <c r="V76" i="1" s="1"/>
  <c r="N76" i="1"/>
  <c r="U76" i="1" s="1"/>
  <c r="T75" i="1"/>
  <c r="AA75" i="1" s="1"/>
  <c r="S75" i="1"/>
  <c r="Z75" i="1" s="1"/>
  <c r="Q75" i="1"/>
  <c r="X75" i="1" s="1"/>
  <c r="O75" i="1"/>
  <c r="V75" i="1" s="1"/>
  <c r="N75" i="1"/>
  <c r="T74" i="1"/>
  <c r="AA74" i="1" s="1"/>
  <c r="S74" i="1"/>
  <c r="Z74" i="1" s="1"/>
  <c r="Q74" i="1"/>
  <c r="X74" i="1" s="1"/>
  <c r="O74" i="1"/>
  <c r="N74" i="1"/>
  <c r="U74" i="1" s="1"/>
  <c r="T73" i="1"/>
  <c r="AA73" i="1" s="1"/>
  <c r="S73" i="1"/>
  <c r="Z73" i="1" s="1"/>
  <c r="Q73" i="1"/>
  <c r="X73" i="1" s="1"/>
  <c r="O73" i="1"/>
  <c r="V73" i="1" s="1"/>
  <c r="N73" i="1"/>
  <c r="U73" i="1" s="1"/>
  <c r="T71" i="1"/>
  <c r="AA71" i="1" s="1"/>
  <c r="S71" i="1"/>
  <c r="Z71" i="1" s="1"/>
  <c r="Q71" i="1"/>
  <c r="X71" i="1" s="1"/>
  <c r="O71" i="1"/>
  <c r="N71" i="1"/>
  <c r="U71" i="1" s="1"/>
  <c r="T70" i="1"/>
  <c r="AA70" i="1" s="1"/>
  <c r="S70" i="1"/>
  <c r="Z70" i="1" s="1"/>
  <c r="Q70" i="1"/>
  <c r="X70" i="1" s="1"/>
  <c r="O70" i="1"/>
  <c r="N70" i="1"/>
  <c r="U70" i="1" s="1"/>
  <c r="T69" i="1"/>
  <c r="AA69" i="1" s="1"/>
  <c r="S69" i="1"/>
  <c r="Z69" i="1" s="1"/>
  <c r="Q69" i="1"/>
  <c r="X69" i="1" s="1"/>
  <c r="O69" i="1"/>
  <c r="V69" i="1" s="1"/>
  <c r="N69" i="1"/>
  <c r="P71" i="1" l="1"/>
  <c r="W71" i="1" s="1"/>
  <c r="V71" i="1"/>
  <c r="P86" i="1"/>
  <c r="W86" i="1" s="1"/>
  <c r="V86" i="1"/>
  <c r="P90" i="1"/>
  <c r="W90" i="1" s="1"/>
  <c r="V90" i="1"/>
  <c r="P91" i="1"/>
  <c r="W91" i="1" s="1"/>
  <c r="U91" i="1"/>
  <c r="R69" i="1"/>
  <c r="Y69" i="1" s="1"/>
  <c r="U69" i="1"/>
  <c r="R79" i="1"/>
  <c r="Y79" i="1" s="1"/>
  <c r="X79" i="1"/>
  <c r="R81" i="1"/>
  <c r="Y81" i="1" s="1"/>
  <c r="U81" i="1"/>
  <c r="P83" i="1"/>
  <c r="W83" i="1" s="1"/>
  <c r="P84" i="1"/>
  <c r="W84" i="1" s="1"/>
  <c r="U84" i="1"/>
  <c r="P87" i="1"/>
  <c r="W87" i="1" s="1"/>
  <c r="V87" i="1"/>
  <c r="P88" i="1"/>
  <c r="W88" i="1" s="1"/>
  <c r="U88" i="1"/>
  <c r="R76" i="1"/>
  <c r="Y76" i="1" s="1"/>
  <c r="X76" i="1"/>
  <c r="R78" i="1"/>
  <c r="Y78" i="1" s="1"/>
  <c r="U78" i="1"/>
  <c r="R80" i="1"/>
  <c r="Y80" i="1" s="1"/>
  <c r="X80" i="1"/>
  <c r="R82" i="1"/>
  <c r="Y82" i="1" s="1"/>
  <c r="U82" i="1"/>
  <c r="R83" i="1"/>
  <c r="Y83" i="1" s="1"/>
  <c r="X83" i="1"/>
  <c r="R85" i="1"/>
  <c r="Y85" i="1" s="1"/>
  <c r="U85" i="1"/>
  <c r="P70" i="1"/>
  <c r="W70" i="1" s="1"/>
  <c r="V70" i="1"/>
  <c r="P74" i="1"/>
  <c r="W74" i="1" s="1"/>
  <c r="V74" i="1"/>
  <c r="P75" i="1"/>
  <c r="W75" i="1" s="1"/>
  <c r="U75" i="1"/>
  <c r="P79" i="1"/>
  <c r="W79" i="1" s="1"/>
  <c r="U79" i="1"/>
  <c r="P78" i="1"/>
  <c r="W78" i="1" s="1"/>
  <c r="R70" i="1"/>
  <c r="Y70" i="1" s="1"/>
  <c r="R71" i="1"/>
  <c r="Y71" i="1" s="1"/>
  <c r="P73" i="1"/>
  <c r="W73" i="1" s="1"/>
  <c r="P76" i="1"/>
  <c r="W76" i="1" s="1"/>
  <c r="P82" i="1"/>
  <c r="W82" i="1" s="1"/>
  <c r="R84" i="1"/>
  <c r="Y84" i="1" s="1"/>
  <c r="R86" i="1"/>
  <c r="Y86" i="1" s="1"/>
  <c r="R87" i="1"/>
  <c r="Y87" i="1" s="1"/>
  <c r="P89" i="1"/>
  <c r="W89" i="1" s="1"/>
  <c r="R74" i="1"/>
  <c r="Y74" i="1" s="1"/>
  <c r="R75" i="1"/>
  <c r="Y75" i="1" s="1"/>
  <c r="R77" i="1"/>
  <c r="Y77" i="1" s="1"/>
  <c r="P80" i="1"/>
  <c r="W80" i="1" s="1"/>
  <c r="R88" i="1"/>
  <c r="Y88" i="1" s="1"/>
  <c r="R90" i="1"/>
  <c r="Y90" i="1" s="1"/>
  <c r="R91" i="1"/>
  <c r="Y91" i="1" s="1"/>
  <c r="P93" i="1"/>
  <c r="W93" i="1" s="1"/>
  <c r="R73" i="1"/>
  <c r="Y73" i="1" s="1"/>
  <c r="R89" i="1"/>
  <c r="Y89" i="1" s="1"/>
  <c r="R93" i="1"/>
  <c r="Y93" i="1" s="1"/>
  <c r="P69" i="1"/>
  <c r="W69" i="1" s="1"/>
  <c r="P77" i="1"/>
  <c r="W77" i="1" s="1"/>
  <c r="P81" i="1"/>
  <c r="W81" i="1" s="1"/>
  <c r="P85" i="1"/>
  <c r="W85" i="1" s="1"/>
  <c r="E90" i="1" l="1"/>
  <c r="E88" i="1"/>
  <c r="E87" i="1"/>
  <c r="E85" i="1"/>
  <c r="E70" i="1"/>
  <c r="T39" i="1" l="1"/>
  <c r="AA39" i="1" s="1"/>
  <c r="S39" i="1"/>
  <c r="Z39" i="1" s="1"/>
  <c r="Q39" i="1"/>
  <c r="X39" i="1" s="1"/>
  <c r="O39" i="1"/>
  <c r="V39" i="1" s="1"/>
  <c r="N39" i="1"/>
  <c r="T38" i="1"/>
  <c r="AA38" i="1" s="1"/>
  <c r="S38" i="1"/>
  <c r="Z38" i="1" s="1"/>
  <c r="Q38" i="1"/>
  <c r="O38" i="1"/>
  <c r="V38" i="1" s="1"/>
  <c r="N38" i="1"/>
  <c r="U38" i="1" s="1"/>
  <c r="T37" i="1"/>
  <c r="AA37" i="1" s="1"/>
  <c r="S37" i="1"/>
  <c r="Z37" i="1" s="1"/>
  <c r="Q37" i="1"/>
  <c r="O37" i="1"/>
  <c r="V37" i="1" s="1"/>
  <c r="N37" i="1"/>
  <c r="U37" i="1" s="1"/>
  <c r="T36" i="1"/>
  <c r="AA36" i="1" s="1"/>
  <c r="S36" i="1"/>
  <c r="Z36" i="1" s="1"/>
  <c r="Q36" i="1"/>
  <c r="O36" i="1"/>
  <c r="N36" i="1"/>
  <c r="U36" i="1" s="1"/>
  <c r="T35" i="1"/>
  <c r="AA35" i="1" s="1"/>
  <c r="S35" i="1"/>
  <c r="Z35" i="1" s="1"/>
  <c r="Q35" i="1"/>
  <c r="X35" i="1" s="1"/>
  <c r="O35" i="1"/>
  <c r="V35" i="1" s="1"/>
  <c r="N35" i="1"/>
  <c r="T34" i="1"/>
  <c r="AA34" i="1" s="1"/>
  <c r="S34" i="1"/>
  <c r="Z34" i="1" s="1"/>
  <c r="Q34" i="1"/>
  <c r="O34" i="1"/>
  <c r="V34" i="1" s="1"/>
  <c r="N34" i="1"/>
  <c r="T33" i="1"/>
  <c r="AA33" i="1" s="1"/>
  <c r="S33" i="1"/>
  <c r="Z33" i="1" s="1"/>
  <c r="Q33" i="1"/>
  <c r="X33" i="1" s="1"/>
  <c r="O33" i="1"/>
  <c r="V33" i="1" s="1"/>
  <c r="N33" i="1"/>
  <c r="U33" i="1" s="1"/>
  <c r="T32" i="1"/>
  <c r="AA32" i="1" s="1"/>
  <c r="S32" i="1"/>
  <c r="Z32" i="1" s="1"/>
  <c r="Q32" i="1"/>
  <c r="O32" i="1"/>
  <c r="N32" i="1"/>
  <c r="U32" i="1" s="1"/>
  <c r="T31" i="1"/>
  <c r="AA31" i="1" s="1"/>
  <c r="S31" i="1"/>
  <c r="Z31" i="1" s="1"/>
  <c r="Q31" i="1"/>
  <c r="X31" i="1" s="1"/>
  <c r="O31" i="1"/>
  <c r="V31" i="1" s="1"/>
  <c r="N31" i="1"/>
  <c r="T30" i="1"/>
  <c r="AA30" i="1" s="1"/>
  <c r="S30" i="1"/>
  <c r="Z30" i="1" s="1"/>
  <c r="Q30" i="1"/>
  <c r="O30" i="1"/>
  <c r="V30" i="1" s="1"/>
  <c r="N30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T29" i="1"/>
  <c r="AA29" i="1" s="1"/>
  <c r="S29" i="1"/>
  <c r="Z29" i="1" s="1"/>
  <c r="Q29" i="1"/>
  <c r="O29" i="1"/>
  <c r="V29" i="1" s="1"/>
  <c r="N29" i="1"/>
  <c r="T27" i="1"/>
  <c r="AA27" i="1" s="1"/>
  <c r="S27" i="1"/>
  <c r="Z27" i="1" s="1"/>
  <c r="Q27" i="1"/>
  <c r="X27" i="1" s="1"/>
  <c r="O27" i="1"/>
  <c r="V27" i="1" s="1"/>
  <c r="N27" i="1"/>
  <c r="T26" i="1"/>
  <c r="AA26" i="1" s="1"/>
  <c r="S26" i="1"/>
  <c r="Z26" i="1" s="1"/>
  <c r="Q26" i="1"/>
  <c r="X26" i="1" s="1"/>
  <c r="O26" i="1"/>
  <c r="V26" i="1" s="1"/>
  <c r="N26" i="1"/>
  <c r="T25" i="1"/>
  <c r="AA25" i="1" s="1"/>
  <c r="S25" i="1"/>
  <c r="Z25" i="1" s="1"/>
  <c r="O25" i="1"/>
  <c r="V25" i="1" s="1"/>
  <c r="N25" i="1"/>
  <c r="T24" i="1"/>
  <c r="AA24" i="1" s="1"/>
  <c r="S24" i="1"/>
  <c r="Z24" i="1" s="1"/>
  <c r="Q24" i="1"/>
  <c r="X24" i="1" s="1"/>
  <c r="O24" i="1"/>
  <c r="V24" i="1" s="1"/>
  <c r="N24" i="1"/>
  <c r="T23" i="1"/>
  <c r="AA23" i="1" s="1"/>
  <c r="S23" i="1"/>
  <c r="Z23" i="1" s="1"/>
  <c r="Q23" i="1"/>
  <c r="O23" i="1"/>
  <c r="V23" i="1" s="1"/>
  <c r="N23" i="1"/>
  <c r="U23" i="1" s="1"/>
  <c r="T22" i="1"/>
  <c r="AA22" i="1" s="1"/>
  <c r="S22" i="1"/>
  <c r="Z22" i="1" s="1"/>
  <c r="Q22" i="1"/>
  <c r="O22" i="1"/>
  <c r="V22" i="1" s="1"/>
  <c r="N22" i="1"/>
  <c r="U22" i="1" s="1"/>
  <c r="T21" i="1"/>
  <c r="AA21" i="1" s="1"/>
  <c r="S21" i="1"/>
  <c r="Z21" i="1" s="1"/>
  <c r="Q21" i="1"/>
  <c r="X21" i="1" s="1"/>
  <c r="O21" i="1"/>
  <c r="V21" i="1" s="1"/>
  <c r="N21" i="1"/>
  <c r="T20" i="1"/>
  <c r="AA20" i="1" s="1"/>
  <c r="S20" i="1"/>
  <c r="Z20" i="1" s="1"/>
  <c r="Q20" i="1"/>
  <c r="X20" i="1" s="1"/>
  <c r="O20" i="1"/>
  <c r="V20" i="1" s="1"/>
  <c r="N20" i="1"/>
  <c r="T18" i="1"/>
  <c r="AA18" i="1" s="1"/>
  <c r="S18" i="1"/>
  <c r="Z18" i="1" s="1"/>
  <c r="Q18" i="1"/>
  <c r="O18" i="1"/>
  <c r="V18" i="1" s="1"/>
  <c r="N18" i="1"/>
  <c r="U18" i="1" s="1"/>
  <c r="E18" i="1"/>
  <c r="T17" i="1"/>
  <c r="AA17" i="1" s="1"/>
  <c r="S17" i="1"/>
  <c r="Z17" i="1" s="1"/>
  <c r="Q17" i="1"/>
  <c r="O17" i="1"/>
  <c r="V17" i="1" s="1"/>
  <c r="N17" i="1"/>
  <c r="U17" i="1" s="1"/>
  <c r="T16" i="1"/>
  <c r="AA16" i="1" s="1"/>
  <c r="S16" i="1"/>
  <c r="Z16" i="1" s="1"/>
  <c r="Q16" i="1"/>
  <c r="X16" i="1" s="1"/>
  <c r="O16" i="1"/>
  <c r="V16" i="1" s="1"/>
  <c r="N16" i="1"/>
  <c r="T15" i="1"/>
  <c r="AA15" i="1" s="1"/>
  <c r="S15" i="1"/>
  <c r="Z15" i="1" s="1"/>
  <c r="Q15" i="1"/>
  <c r="X15" i="1" s="1"/>
  <c r="O15" i="1"/>
  <c r="V15" i="1" s="1"/>
  <c r="N15" i="1"/>
  <c r="U15" i="1" s="1"/>
  <c r="T14" i="1"/>
  <c r="AA14" i="1" s="1"/>
  <c r="S14" i="1"/>
  <c r="Z14" i="1" s="1"/>
  <c r="Q14" i="1"/>
  <c r="O14" i="1"/>
  <c r="V14" i="1" s="1"/>
  <c r="N14" i="1"/>
  <c r="U14" i="1" s="1"/>
  <c r="T13" i="1"/>
  <c r="AA13" i="1" s="1"/>
  <c r="S13" i="1"/>
  <c r="Z13" i="1" s="1"/>
  <c r="Q13" i="1"/>
  <c r="O13" i="1"/>
  <c r="V13" i="1" s="1"/>
  <c r="N13" i="1"/>
  <c r="U13" i="1" s="1"/>
  <c r="T12" i="1"/>
  <c r="AA12" i="1" s="1"/>
  <c r="S12" i="1"/>
  <c r="Z12" i="1" s="1"/>
  <c r="Q12" i="1"/>
  <c r="O12" i="1"/>
  <c r="V12" i="1" s="1"/>
  <c r="N12" i="1"/>
  <c r="T11" i="1"/>
  <c r="AA11" i="1" s="1"/>
  <c r="S11" i="1"/>
  <c r="Z11" i="1" s="1"/>
  <c r="Q11" i="1"/>
  <c r="X11" i="1" s="1"/>
  <c r="O11" i="1"/>
  <c r="V11" i="1" s="1"/>
  <c r="N11" i="1"/>
  <c r="U11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T10" i="1"/>
  <c r="AA10" i="1" s="1"/>
  <c r="S10" i="1"/>
  <c r="Z10" i="1" s="1"/>
  <c r="Q10" i="1"/>
  <c r="O10" i="1"/>
  <c r="N10" i="1"/>
  <c r="U10" i="1" s="1"/>
  <c r="P30" i="1" l="1"/>
  <c r="W30" i="1" s="1"/>
  <c r="R35" i="1"/>
  <c r="Y35" i="1" s="1"/>
  <c r="R27" i="1"/>
  <c r="Y27" i="1" s="1"/>
  <c r="R12" i="1"/>
  <c r="Y12" i="1" s="1"/>
  <c r="R21" i="1"/>
  <c r="Y21" i="1" s="1"/>
  <c r="R14" i="1"/>
  <c r="Y14" i="1" s="1"/>
  <c r="U29" i="1"/>
  <c r="P29" i="1"/>
  <c r="W29" i="1" s="1"/>
  <c r="R37" i="1"/>
  <c r="Y37" i="1" s="1"/>
  <c r="R10" i="1"/>
  <c r="Y10" i="1" s="1"/>
  <c r="P34" i="1"/>
  <c r="W34" i="1" s="1"/>
  <c r="P10" i="1"/>
  <c r="W10" i="1" s="1"/>
  <c r="R13" i="1"/>
  <c r="Y13" i="1" s="1"/>
  <c r="R24" i="1"/>
  <c r="Y24" i="1" s="1"/>
  <c r="P26" i="1"/>
  <c r="W26" i="1" s="1"/>
  <c r="V10" i="1"/>
  <c r="P22" i="1"/>
  <c r="W22" i="1" s="1"/>
  <c r="P23" i="1"/>
  <c r="W23" i="1" s="1"/>
  <c r="R32" i="1"/>
  <c r="Y32" i="1" s="1"/>
  <c r="X32" i="1"/>
  <c r="P33" i="1"/>
  <c r="W33" i="1" s="1"/>
  <c r="P14" i="1"/>
  <c r="W14" i="1" s="1"/>
  <c r="P15" i="1"/>
  <c r="W15" i="1" s="1"/>
  <c r="R16" i="1"/>
  <c r="Y16" i="1" s="1"/>
  <c r="R17" i="1"/>
  <c r="Y17" i="1" s="1"/>
  <c r="X17" i="1"/>
  <c r="R18" i="1"/>
  <c r="Y18" i="1" s="1"/>
  <c r="X18" i="1"/>
  <c r="P20" i="1"/>
  <c r="W20" i="1" s="1"/>
  <c r="R22" i="1"/>
  <c r="Y22" i="1" s="1"/>
  <c r="X22" i="1"/>
  <c r="R23" i="1"/>
  <c r="Y23" i="1" s="1"/>
  <c r="U26" i="1"/>
  <c r="R29" i="1"/>
  <c r="Y29" i="1" s="1"/>
  <c r="R33" i="1"/>
  <c r="Y33" i="1" s="1"/>
  <c r="U34" i="1"/>
  <c r="R36" i="1"/>
  <c r="Y36" i="1" s="1"/>
  <c r="X36" i="1"/>
  <c r="P37" i="1"/>
  <c r="W37" i="1" s="1"/>
  <c r="P38" i="1"/>
  <c r="W38" i="1" s="1"/>
  <c r="R39" i="1"/>
  <c r="Y39" i="1" s="1"/>
  <c r="X12" i="1"/>
  <c r="X13" i="1"/>
  <c r="P11" i="1"/>
  <c r="W11" i="1" s="1"/>
  <c r="P24" i="1"/>
  <c r="W24" i="1" s="1"/>
  <c r="R31" i="1"/>
  <c r="Y31" i="1" s="1"/>
  <c r="X37" i="1"/>
  <c r="U25" i="1"/>
  <c r="P25" i="1"/>
  <c r="W25" i="1" s="1"/>
  <c r="R11" i="1"/>
  <c r="Y11" i="1" s="1"/>
  <c r="U12" i="1"/>
  <c r="P12" i="1"/>
  <c r="W12" i="1" s="1"/>
  <c r="X23" i="1"/>
  <c r="X29" i="1"/>
  <c r="X10" i="1"/>
  <c r="P13" i="1"/>
  <c r="W13" i="1" s="1"/>
  <c r="R15" i="1"/>
  <c r="Y15" i="1" s="1"/>
  <c r="U16" i="1"/>
  <c r="P16" i="1"/>
  <c r="W16" i="1" s="1"/>
  <c r="U20" i="1"/>
  <c r="R26" i="1"/>
  <c r="Y26" i="1" s="1"/>
  <c r="U27" i="1"/>
  <c r="P27" i="1"/>
  <c r="W27" i="1" s="1"/>
  <c r="U30" i="1"/>
  <c r="V32" i="1"/>
  <c r="P32" i="1"/>
  <c r="W32" i="1" s="1"/>
  <c r="V36" i="1"/>
  <c r="P36" i="1"/>
  <c r="W36" i="1" s="1"/>
  <c r="X14" i="1"/>
  <c r="P17" i="1"/>
  <c r="W17" i="1" s="1"/>
  <c r="P18" i="1"/>
  <c r="W18" i="1" s="1"/>
  <c r="R20" i="1"/>
  <c r="Y20" i="1" s="1"/>
  <c r="U21" i="1"/>
  <c r="P21" i="1"/>
  <c r="W21" i="1" s="1"/>
  <c r="U24" i="1"/>
  <c r="X30" i="1"/>
  <c r="R30" i="1"/>
  <c r="Y30" i="1" s="1"/>
  <c r="U31" i="1"/>
  <c r="P31" i="1"/>
  <c r="W31" i="1" s="1"/>
  <c r="X34" i="1"/>
  <c r="R34" i="1"/>
  <c r="Y34" i="1" s="1"/>
  <c r="U35" i="1"/>
  <c r="P35" i="1"/>
  <c r="W35" i="1" s="1"/>
  <c r="X38" i="1"/>
  <c r="R38" i="1"/>
  <c r="Y38" i="1" s="1"/>
  <c r="U39" i="1"/>
  <c r="P39" i="1"/>
  <c r="W39" i="1" s="1"/>
  <c r="T68" i="1" l="1"/>
  <c r="AA68" i="1" s="1"/>
  <c r="S68" i="1"/>
  <c r="Z68" i="1" s="1"/>
  <c r="Q68" i="1"/>
  <c r="O68" i="1"/>
  <c r="V68" i="1" s="1"/>
  <c r="N68" i="1"/>
  <c r="T65" i="1"/>
  <c r="AA65" i="1" s="1"/>
  <c r="S65" i="1"/>
  <c r="Z65" i="1" s="1"/>
  <c r="Q65" i="1"/>
  <c r="O65" i="1"/>
  <c r="V65" i="1" s="1"/>
  <c r="N65" i="1"/>
  <c r="T64" i="1"/>
  <c r="AA64" i="1" s="1"/>
  <c r="S64" i="1"/>
  <c r="Z64" i="1" s="1"/>
  <c r="Q64" i="1"/>
  <c r="X64" i="1" s="1"/>
  <c r="O64" i="1"/>
  <c r="T63" i="1"/>
  <c r="AA63" i="1" s="1"/>
  <c r="S63" i="1"/>
  <c r="Z63" i="1" s="1"/>
  <c r="Q63" i="1"/>
  <c r="O63" i="1"/>
  <c r="V63" i="1" s="1"/>
  <c r="N63" i="1"/>
  <c r="T62" i="1"/>
  <c r="AA62" i="1" s="1"/>
  <c r="S62" i="1"/>
  <c r="Z62" i="1" s="1"/>
  <c r="Q62" i="1"/>
  <c r="X62" i="1" s="1"/>
  <c r="O62" i="1"/>
  <c r="V62" i="1" s="1"/>
  <c r="N62" i="1"/>
  <c r="U62" i="1" s="1"/>
  <c r="T61" i="1"/>
  <c r="AA61" i="1" s="1"/>
  <c r="S61" i="1"/>
  <c r="Z61" i="1" s="1"/>
  <c r="Q61" i="1"/>
  <c r="O61" i="1"/>
  <c r="V61" i="1" s="1"/>
  <c r="N61" i="1"/>
  <c r="T60" i="1"/>
  <c r="AA60" i="1" s="1"/>
  <c r="S60" i="1"/>
  <c r="Z60" i="1" s="1"/>
  <c r="Q60" i="1"/>
  <c r="X60" i="1" s="1"/>
  <c r="O60" i="1"/>
  <c r="V60" i="1" s="1"/>
  <c r="N60" i="1"/>
  <c r="U60" i="1" s="1"/>
  <c r="T59" i="1"/>
  <c r="AA59" i="1" s="1"/>
  <c r="S59" i="1"/>
  <c r="Z59" i="1" s="1"/>
  <c r="Q59" i="1"/>
  <c r="O59" i="1"/>
  <c r="V59" i="1" s="1"/>
  <c r="N59" i="1"/>
  <c r="T58" i="1"/>
  <c r="AA58" i="1" s="1"/>
  <c r="S58" i="1"/>
  <c r="Z58" i="1" s="1"/>
  <c r="Q58" i="1"/>
  <c r="X58" i="1" s="1"/>
  <c r="O58" i="1"/>
  <c r="N58" i="1"/>
  <c r="U58" i="1" s="1"/>
  <c r="T57" i="1"/>
  <c r="AA57" i="1" s="1"/>
  <c r="S57" i="1"/>
  <c r="Z57" i="1" s="1"/>
  <c r="Q57" i="1"/>
  <c r="O57" i="1"/>
  <c r="V57" i="1" s="1"/>
  <c r="N57" i="1"/>
  <c r="U57" i="1" s="1"/>
  <c r="T56" i="1"/>
  <c r="AA56" i="1" s="1"/>
  <c r="S56" i="1"/>
  <c r="Z56" i="1" s="1"/>
  <c r="Q56" i="1"/>
  <c r="X56" i="1" s="1"/>
  <c r="O56" i="1"/>
  <c r="V56" i="1" s="1"/>
  <c r="N56" i="1"/>
  <c r="U56" i="1" s="1"/>
  <c r="T55" i="1"/>
  <c r="AA55" i="1" s="1"/>
  <c r="S55" i="1"/>
  <c r="Z55" i="1" s="1"/>
  <c r="Q55" i="1"/>
  <c r="X55" i="1" s="1"/>
  <c r="O55" i="1"/>
  <c r="V55" i="1" s="1"/>
  <c r="N55" i="1"/>
  <c r="T54" i="1"/>
  <c r="AA54" i="1" s="1"/>
  <c r="S54" i="1"/>
  <c r="Z54" i="1" s="1"/>
  <c r="Q54" i="1"/>
  <c r="X54" i="1" s="1"/>
  <c r="O54" i="1"/>
  <c r="V54" i="1" s="1"/>
  <c r="N54" i="1"/>
  <c r="U54" i="1" s="1"/>
  <c r="T53" i="1"/>
  <c r="AA53" i="1" s="1"/>
  <c r="S53" i="1"/>
  <c r="Z53" i="1" s="1"/>
  <c r="Q53" i="1"/>
  <c r="O53" i="1"/>
  <c r="V53" i="1" s="1"/>
  <c r="N53" i="1"/>
  <c r="T52" i="1"/>
  <c r="AA52" i="1" s="1"/>
  <c r="S52" i="1"/>
  <c r="Z52" i="1" s="1"/>
  <c r="Q52" i="1"/>
  <c r="X52" i="1" s="1"/>
  <c r="O52" i="1"/>
  <c r="N52" i="1"/>
  <c r="U52" i="1" s="1"/>
  <c r="T51" i="1"/>
  <c r="AA51" i="1" s="1"/>
  <c r="S51" i="1"/>
  <c r="Z51" i="1" s="1"/>
  <c r="Q51" i="1"/>
  <c r="X51" i="1" s="1"/>
  <c r="O51" i="1"/>
  <c r="V51" i="1" s="1"/>
  <c r="N51" i="1"/>
  <c r="T50" i="1"/>
  <c r="AA50" i="1" s="1"/>
  <c r="S50" i="1"/>
  <c r="Z50" i="1" s="1"/>
  <c r="Q50" i="1"/>
  <c r="X50" i="1" s="1"/>
  <c r="O50" i="1"/>
  <c r="V50" i="1" s="1"/>
  <c r="N50" i="1"/>
  <c r="U50" i="1" s="1"/>
  <c r="T49" i="1"/>
  <c r="AA49" i="1" s="1"/>
  <c r="S49" i="1"/>
  <c r="Z49" i="1" s="1"/>
  <c r="Q49" i="1"/>
  <c r="O49" i="1"/>
  <c r="V49" i="1" s="1"/>
  <c r="N49" i="1"/>
  <c r="U49" i="1" s="1"/>
  <c r="T48" i="1"/>
  <c r="AA48" i="1" s="1"/>
  <c r="S48" i="1"/>
  <c r="Z48" i="1" s="1"/>
  <c r="Q48" i="1"/>
  <c r="X48" i="1" s="1"/>
  <c r="O48" i="1"/>
  <c r="N48" i="1"/>
  <c r="T47" i="1"/>
  <c r="AA47" i="1" s="1"/>
  <c r="S47" i="1"/>
  <c r="Z47" i="1" s="1"/>
  <c r="Q47" i="1"/>
  <c r="O47" i="1"/>
  <c r="V47" i="1" s="1"/>
  <c r="N47" i="1"/>
  <c r="T46" i="1"/>
  <c r="AA46" i="1" s="1"/>
  <c r="S46" i="1"/>
  <c r="Z46" i="1" s="1"/>
  <c r="Q46" i="1"/>
  <c r="X46" i="1" s="1"/>
  <c r="O46" i="1"/>
  <c r="N46" i="1"/>
  <c r="U46" i="1" s="1"/>
  <c r="T45" i="1"/>
  <c r="AA45" i="1" s="1"/>
  <c r="S45" i="1"/>
  <c r="Z45" i="1" s="1"/>
  <c r="Q45" i="1"/>
  <c r="X45" i="1" s="1"/>
  <c r="N45" i="1"/>
  <c r="U45" i="1" s="1"/>
  <c r="T44" i="1"/>
  <c r="AA44" i="1" s="1"/>
  <c r="S44" i="1"/>
  <c r="Z44" i="1" s="1"/>
  <c r="Q44" i="1"/>
  <c r="X44" i="1" s="1"/>
  <c r="O44" i="1"/>
  <c r="N44" i="1"/>
  <c r="U44" i="1" s="1"/>
  <c r="T43" i="1"/>
  <c r="AA43" i="1" s="1"/>
  <c r="S43" i="1"/>
  <c r="Z43" i="1" s="1"/>
  <c r="Q43" i="1"/>
  <c r="X43" i="1" s="1"/>
  <c r="O43" i="1"/>
  <c r="V43" i="1" s="1"/>
  <c r="N43" i="1"/>
  <c r="T42" i="1"/>
  <c r="AA42" i="1" s="1"/>
  <c r="S42" i="1"/>
  <c r="Z42" i="1" s="1"/>
  <c r="Q42" i="1"/>
  <c r="X42" i="1" s="1"/>
  <c r="O42" i="1"/>
  <c r="N42" i="1"/>
  <c r="U42" i="1" s="1"/>
  <c r="T41" i="1"/>
  <c r="AA41" i="1" s="1"/>
  <c r="S41" i="1"/>
  <c r="Z41" i="1" s="1"/>
  <c r="Q41" i="1"/>
  <c r="O41" i="1"/>
  <c r="V41" i="1" s="1"/>
  <c r="N41" i="1"/>
  <c r="T40" i="1"/>
  <c r="AA40" i="1" s="1"/>
  <c r="S40" i="1"/>
  <c r="Z40" i="1" s="1"/>
  <c r="Q40" i="1"/>
  <c r="O40" i="1"/>
  <c r="V40" i="1" s="1"/>
  <c r="N40" i="1"/>
  <c r="U40" i="1" s="1"/>
  <c r="P61" i="1" l="1"/>
  <c r="W61" i="1" s="1"/>
  <c r="P41" i="1"/>
  <c r="W41" i="1" s="1"/>
  <c r="P58" i="1"/>
  <c r="W58" i="1" s="1"/>
  <c r="P59" i="1"/>
  <c r="W59" i="1" s="1"/>
  <c r="P65" i="1"/>
  <c r="W65" i="1" s="1"/>
  <c r="R57" i="1"/>
  <c r="Y57" i="1" s="1"/>
  <c r="R65" i="1"/>
  <c r="Y65" i="1" s="1"/>
  <c r="P55" i="1"/>
  <c r="W55" i="1" s="1"/>
  <c r="P68" i="1"/>
  <c r="W68" i="1" s="1"/>
  <c r="R49" i="1"/>
  <c r="Y49" i="1" s="1"/>
  <c r="R59" i="1"/>
  <c r="Y59" i="1" s="1"/>
  <c r="R68" i="1"/>
  <c r="Y68" i="1" s="1"/>
  <c r="R40" i="1"/>
  <c r="Y40" i="1" s="1"/>
  <c r="P43" i="1"/>
  <c r="W43" i="1" s="1"/>
  <c r="P63" i="1"/>
  <c r="W63" i="1" s="1"/>
  <c r="P47" i="1"/>
  <c r="W47" i="1" s="1"/>
  <c r="P51" i="1"/>
  <c r="W51" i="1" s="1"/>
  <c r="P53" i="1"/>
  <c r="W53" i="1" s="1"/>
  <c r="U48" i="1"/>
  <c r="P40" i="1"/>
  <c r="U43" i="1"/>
  <c r="P44" i="1"/>
  <c r="W44" i="1" s="1"/>
  <c r="U47" i="1"/>
  <c r="P48" i="1"/>
  <c r="W48" i="1" s="1"/>
  <c r="U55" i="1"/>
  <c r="U63" i="1"/>
  <c r="U41" i="1"/>
  <c r="P46" i="1"/>
  <c r="W46" i="1" s="1"/>
  <c r="R47" i="1"/>
  <c r="Y47" i="1" s="1"/>
  <c r="U53" i="1"/>
  <c r="U61" i="1"/>
  <c r="R63" i="1"/>
  <c r="Y63" i="1" s="1"/>
  <c r="X40" i="1"/>
  <c r="P49" i="1"/>
  <c r="W49" i="1" s="1"/>
  <c r="U51" i="1"/>
  <c r="P52" i="1"/>
  <c r="W52" i="1" s="1"/>
  <c r="R53" i="1"/>
  <c r="Y53" i="1" s="1"/>
  <c r="P57" i="1"/>
  <c r="W57" i="1" s="1"/>
  <c r="U59" i="1"/>
  <c r="R61" i="1"/>
  <c r="Y61" i="1" s="1"/>
  <c r="U65" i="1"/>
  <c r="U68" i="1"/>
  <c r="X68" i="1"/>
  <c r="V42" i="1"/>
  <c r="P42" i="1"/>
  <c r="W42" i="1" s="1"/>
  <c r="R41" i="1"/>
  <c r="Y41" i="1" s="1"/>
  <c r="X41" i="1"/>
  <c r="R43" i="1"/>
  <c r="Y43" i="1" s="1"/>
  <c r="R45" i="1"/>
  <c r="Y45" i="1" s="1"/>
  <c r="P50" i="1"/>
  <c r="W50" i="1" s="1"/>
  <c r="R51" i="1"/>
  <c r="Y51" i="1" s="1"/>
  <c r="P54" i="1"/>
  <c r="W54" i="1" s="1"/>
  <c r="R55" i="1"/>
  <c r="Y55" i="1" s="1"/>
  <c r="P56" i="1"/>
  <c r="W56" i="1" s="1"/>
  <c r="P60" i="1"/>
  <c r="W60" i="1" s="1"/>
  <c r="P62" i="1"/>
  <c r="W62" i="1" s="1"/>
  <c r="R42" i="1"/>
  <c r="Y42" i="1" s="1"/>
  <c r="R44" i="1"/>
  <c r="Y44" i="1" s="1"/>
  <c r="V44" i="1"/>
  <c r="R46" i="1"/>
  <c r="Y46" i="1" s="1"/>
  <c r="V46" i="1"/>
  <c r="X47" i="1"/>
  <c r="R48" i="1"/>
  <c r="Y48" i="1" s="1"/>
  <c r="V48" i="1"/>
  <c r="X49" i="1"/>
  <c r="R50" i="1"/>
  <c r="Y50" i="1" s="1"/>
  <c r="R52" i="1"/>
  <c r="Y52" i="1" s="1"/>
  <c r="V52" i="1"/>
  <c r="X53" i="1"/>
  <c r="R54" i="1"/>
  <c r="Y54" i="1" s="1"/>
  <c r="R56" i="1"/>
  <c r="Y56" i="1" s="1"/>
  <c r="X57" i="1"/>
  <c r="R58" i="1"/>
  <c r="Y58" i="1" s="1"/>
  <c r="V58" i="1"/>
  <c r="X59" i="1"/>
  <c r="R60" i="1"/>
  <c r="Y60" i="1" s="1"/>
  <c r="X61" i="1"/>
  <c r="R62" i="1"/>
  <c r="Y62" i="1" s="1"/>
  <c r="X63" i="1"/>
  <c r="V64" i="1"/>
  <c r="X65" i="1"/>
  <c r="W40" i="1" l="1"/>
  <c r="E68" i="1"/>
  <c r="E65" i="1"/>
  <c r="E64" i="1"/>
  <c r="E62" i="1"/>
  <c r="E60" i="1"/>
  <c r="E57" i="1"/>
  <c r="E55" i="1"/>
  <c r="E54" i="1"/>
  <c r="E53" i="1"/>
  <c r="E52" i="1"/>
  <c r="E51" i="1"/>
  <c r="E50" i="1"/>
  <c r="E48" i="1"/>
  <c r="E45" i="1"/>
  <c r="E44" i="1"/>
  <c r="E43" i="1"/>
  <c r="E42" i="1"/>
  <c r="A188" i="1" l="1"/>
  <c r="A189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</calcChain>
</file>

<file path=xl/comments1.xml><?xml version="1.0" encoding="utf-8"?>
<comments xmlns="http://schemas.openxmlformats.org/spreadsheetml/2006/main">
  <authors>
    <author>Zach</author>
  </authors>
  <commentList>
    <comment ref="H206" authorId="0" shapeId="0">
      <text>
        <r>
          <rPr>
            <b/>
            <sz val="9"/>
            <color indexed="81"/>
            <rFont val="Tahoma"/>
            <family val="2"/>
          </rPr>
          <t>Zach:</t>
        </r>
        <r>
          <rPr>
            <sz val="9"/>
            <color indexed="81"/>
            <rFont val="Tahoma"/>
            <family val="2"/>
          </rPr>
          <t xml:space="preserve">
Scott, how confident are you in individual values like 0.00 or 1.78 or 7.18, if the method detection level is 40?</t>
        </r>
      </text>
    </comment>
  </commentList>
</comments>
</file>

<file path=xl/sharedStrings.xml><?xml version="1.0" encoding="utf-8"?>
<sst xmlns="http://schemas.openxmlformats.org/spreadsheetml/2006/main" count="1006" uniqueCount="189">
  <si>
    <t>Mid-lake (TB-1)</t>
  </si>
  <si>
    <t>Precip.</t>
  </si>
  <si>
    <t>(Load)</t>
  </si>
  <si>
    <t>Vol.</t>
  </si>
  <si>
    <t>From ST</t>
  </si>
  <si>
    <t>Collector</t>
  </si>
  <si>
    <t>Area</t>
  </si>
  <si>
    <t>NO3-N</t>
  </si>
  <si>
    <t>NH4-N</t>
  </si>
  <si>
    <t>TKN</t>
  </si>
  <si>
    <t>SRP</t>
  </si>
  <si>
    <t>TP</t>
  </si>
  <si>
    <t>DIN</t>
  </si>
  <si>
    <t>TN</t>
  </si>
  <si>
    <t>No.</t>
  </si>
  <si>
    <t>Liters</t>
  </si>
  <si>
    <t>Form</t>
  </si>
  <si>
    <t>Type</t>
  </si>
  <si>
    <t>Notes</t>
  </si>
  <si>
    <t>DF</t>
  </si>
  <si>
    <t>DRY-BULK</t>
  </si>
  <si>
    <t>NA</t>
  </si>
  <si>
    <t xml:space="preserve">Collection Period </t>
  </si>
  <si>
    <t>Start Date-Time</t>
  </si>
  <si>
    <t>Collection Period</t>
  </si>
  <si>
    <t>End Date-Time</t>
  </si>
  <si>
    <t xml:space="preserve">Sample </t>
  </si>
  <si>
    <t>Estimated</t>
  </si>
  <si>
    <t>(Concentration)</t>
  </si>
  <si>
    <t>Sample</t>
  </si>
  <si>
    <t>Date</t>
  </si>
  <si>
    <t>Source Blk</t>
  </si>
  <si>
    <t>-</t>
  </si>
  <si>
    <t>Field Blk</t>
  </si>
  <si>
    <t>FBTB1-Plastic</t>
  </si>
  <si>
    <t xml:space="preserve">Vol. </t>
  </si>
  <si>
    <t>Collection</t>
  </si>
  <si>
    <t>QA/QC</t>
  </si>
  <si>
    <t>(1) Deionized water from source system</t>
  </si>
  <si>
    <t>FBTB1D-Plastic</t>
  </si>
  <si>
    <t xml:space="preserve">(2) 4 liters deionized water added to plastic bucket, covered with plastic, held in cold room overnight. </t>
  </si>
  <si>
    <r>
      <t>m</t>
    </r>
    <r>
      <rPr>
        <b/>
        <u/>
        <vertAlign val="superscript"/>
        <sz val="8"/>
        <rFont val="Palatino Linotype"/>
        <family val="1"/>
      </rPr>
      <t>2</t>
    </r>
  </si>
  <si>
    <t>Year</t>
  </si>
  <si>
    <t>TRPA</t>
  </si>
  <si>
    <t>Table "C"</t>
  </si>
  <si>
    <t xml:space="preserve">Table "D" </t>
  </si>
  <si>
    <t>Method Detection Level</t>
  </si>
  <si>
    <r>
      <t>(g ha</t>
    </r>
    <r>
      <rPr>
        <b/>
        <u/>
        <vertAlign val="superscript"/>
        <sz val="8"/>
        <color indexed="8"/>
        <rFont val="Palatino Linotype"/>
        <family val="1"/>
      </rPr>
      <t>-1</t>
    </r>
    <r>
      <rPr>
        <b/>
        <u/>
        <sz val="8"/>
        <color indexed="8"/>
        <rFont val="Palatino Linotype"/>
        <family val="1"/>
      </rPr>
      <t xml:space="preserve"> day</t>
    </r>
    <r>
      <rPr>
        <b/>
        <u/>
        <vertAlign val="superscript"/>
        <sz val="8"/>
        <color indexed="8"/>
        <rFont val="Palatino Linotype"/>
        <family val="1"/>
      </rPr>
      <t>-1</t>
    </r>
    <r>
      <rPr>
        <b/>
        <u/>
        <sz val="8"/>
        <color indexed="8"/>
        <rFont val="Palatino Linotype"/>
        <family val="1"/>
      </rPr>
      <t>)</t>
    </r>
  </si>
  <si>
    <r>
      <t>(g ha</t>
    </r>
    <r>
      <rPr>
        <b/>
        <u/>
        <vertAlign val="superscript"/>
        <sz val="8"/>
        <color indexed="8"/>
        <rFont val="Palatino Linotype"/>
        <family val="1"/>
      </rPr>
      <t>-1</t>
    </r>
    <r>
      <rPr>
        <b/>
        <u/>
        <sz val="8"/>
        <color indexed="8"/>
        <rFont val="Palatino Linotype"/>
        <family val="1"/>
      </rPr>
      <t>)</t>
    </r>
  </si>
  <si>
    <r>
      <t>(µg l</t>
    </r>
    <r>
      <rPr>
        <b/>
        <u/>
        <vertAlign val="superscript"/>
        <sz val="8"/>
        <color theme="1"/>
        <rFont val="Palatino Linotype"/>
        <family val="1"/>
      </rPr>
      <t>-1</t>
    </r>
    <r>
      <rPr>
        <b/>
        <u/>
        <sz val="8"/>
        <color theme="1"/>
        <rFont val="Palatino Linotype"/>
        <family val="1"/>
      </rPr>
      <t>)</t>
    </r>
  </si>
  <si>
    <t>(Daily Load)</t>
  </si>
  <si>
    <t>T</t>
  </si>
  <si>
    <t>DF+T</t>
  </si>
  <si>
    <t>DF+R+S</t>
  </si>
  <si>
    <t>C</t>
  </si>
  <si>
    <t>(1) Bucket dry, added 500ml deionized water (DIW) to process</t>
  </si>
  <si>
    <t>(1) Bucket dry, added 500ml DIW to process</t>
  </si>
  <si>
    <t>(2) 160ml sample + 340ml DIW to process</t>
  </si>
  <si>
    <t xml:space="preserve">(3) Rim Fire in Yosemite began 8/17/13; 8/22/13 1st day of heavier smoke in Tahoe Basin.  </t>
  </si>
  <si>
    <t>(4) Sample water slightly turbid with ash and slightly smokey smell.  Filter had signif. Gray silt/ash, took pictures of filter.  Also plastic flakes from plastic baffle.</t>
  </si>
  <si>
    <t>(5) Intermittent smoke during pd., filter light gray , not as much ash as last collection, water smells smokey.</t>
  </si>
  <si>
    <t>(6) Some smoke during period.</t>
  </si>
  <si>
    <t>DF+R</t>
  </si>
  <si>
    <t>(7)Some precip as rain from thunderstorms during pd.</t>
  </si>
  <si>
    <t>DF+S</t>
  </si>
  <si>
    <t>(8) Stainless steel bucket used for first time to try to sample for particles as well as chemistry;</t>
  </si>
  <si>
    <t>DF+Precip.</t>
  </si>
  <si>
    <t xml:space="preserve">(9) Stainless steel bucket used; </t>
  </si>
  <si>
    <t>(9) Stainless steel bucket used</t>
  </si>
  <si>
    <t>(9) Stainless steel bucket used;</t>
  </si>
  <si>
    <t>(10) Returned to use of plastic buckets, since stainless steel appeared to remove a small amount of SRP in spike-recovery tests.</t>
  </si>
  <si>
    <t>(11) TB-1 Bucket spilled.  Therefore used deposition collected in steel bucket at TB-4 approximately 5km to the west. Precipitation total is from snow tube (ST) at mid-lake TB-1 buoy</t>
  </si>
  <si>
    <t>(12) TB-4 stainless steel bucket.  Use deposition from this buoy to estimate deposition during period since TB-1 bucket spilled.  Use of stainless steel bucket may underestimate SRP deposition slightly.</t>
  </si>
  <si>
    <t>(13) 105ml sample + 396ml deionized water to process;</t>
  </si>
  <si>
    <t>(14) Bucket dry, added 500ml DIW to process; much pollen</t>
  </si>
  <si>
    <t>(15) 200ml sample + 300ml DIW to process</t>
  </si>
  <si>
    <t>(16) Many small bugs and pollen in sample</t>
  </si>
  <si>
    <t>(17) Significant thunderstorms this week which crossed mid-lake</t>
  </si>
  <si>
    <t>(18) Precipitation from thunderstorms.</t>
  </si>
  <si>
    <t>(19) Precipitation from thunderstorms.</t>
  </si>
  <si>
    <t>(20) Small amount of precipitation</t>
  </si>
  <si>
    <t>(21) Smoke with some ash this period from King Fire which started near Pollock Pines on 9/13/14.</t>
  </si>
  <si>
    <t>(23) 25 ml sample +475ml deionized water</t>
  </si>
  <si>
    <t>(25) Obvious bird feces contamination; sample discarded</t>
  </si>
  <si>
    <t>(26) Much pollen</t>
  </si>
  <si>
    <t>(27) Volume possibly underestimated by ~100ml</t>
  </si>
  <si>
    <t>(28) No bucket in place for period in summer while buoy being replaced.</t>
  </si>
  <si>
    <t>Precip. (in.)</t>
  </si>
  <si>
    <t>(32) Bucket dry, added 500ml DIW to process; much pollen</t>
  </si>
  <si>
    <t>(31) Bucket dry, added 500ml deionized water to process; much debris, bird contamination?</t>
  </si>
  <si>
    <t>(7.5) Due to likely long exposure period when dry, don't use this sample.  END WATER YEAR 2013</t>
  </si>
  <si>
    <t xml:space="preserve">(29) Due to likely long exposure period when dry, don't use this sample.  Filter very dark with particulates; bucket dry, added 500ml deionized water to process.  </t>
  </si>
  <si>
    <t>FBTB1D-steel A</t>
  </si>
  <si>
    <t>Lab Blank</t>
  </si>
  <si>
    <t xml:space="preserve">(3) 4 liters deionized water added to steel bucket, covered with plastic, held in cold room overnight. </t>
  </si>
  <si>
    <t>FBTB1D-steel B</t>
  </si>
  <si>
    <t>FBTB1D-steel C</t>
  </si>
  <si>
    <t>NM</t>
  </si>
  <si>
    <t>Spike Blank</t>
  </si>
  <si>
    <r>
      <t xml:space="preserve">(4) Nutrient spike solution prepared with 10 </t>
    </r>
    <r>
      <rPr>
        <sz val="8"/>
        <color theme="1"/>
        <rFont val="Calibri"/>
        <family val="2"/>
      </rPr>
      <t>µ</t>
    </r>
    <r>
      <rPr>
        <sz val="8"/>
        <color theme="1"/>
        <rFont val="Palatino Linotype"/>
        <family val="1"/>
      </rPr>
      <t>g/l NO3-N, 10 µg/l NH4-N and 10 µg/l PO4-P.</t>
    </r>
  </si>
  <si>
    <t>FBTB1D-plastic A</t>
  </si>
  <si>
    <t>Spike Recovery</t>
  </si>
  <si>
    <t>(5) 4 liters of nutrient spike solution added to plastic bucket, covered with plastic and held in cold room overnight.</t>
  </si>
  <si>
    <t>FBTB1D-plastic B</t>
  </si>
  <si>
    <t>(6) 4 liters of nutrient spike solution added to steel bucket, covered with plastic and held in cold room overnight.</t>
  </si>
  <si>
    <t>(22) Intermittent smoke during period from King Fire, rain during period which helped contain fire.  END WY 2014</t>
  </si>
  <si>
    <t>END WY 2015</t>
  </si>
  <si>
    <r>
      <t>WY TN (bulk)</t>
    </r>
    <r>
      <rPr>
        <b/>
        <vertAlign val="superscript"/>
        <sz val="8"/>
        <color indexed="8"/>
        <rFont val="Palatino Linotype"/>
        <family val="1"/>
      </rPr>
      <t>2</t>
    </r>
    <r>
      <rPr>
        <b/>
        <sz val="8"/>
        <color indexed="8"/>
        <rFont val="Palatino Linotype"/>
        <family val="1"/>
      </rPr>
      <t xml:space="preserve">          (g ha</t>
    </r>
    <r>
      <rPr>
        <b/>
        <vertAlign val="superscript"/>
        <sz val="8"/>
        <color indexed="8"/>
        <rFont val="Palatino Linotype"/>
        <family val="1"/>
      </rPr>
      <t>-1</t>
    </r>
    <r>
      <rPr>
        <b/>
        <sz val="8"/>
        <color indexed="8"/>
        <rFont val="Palatino Linotype"/>
        <family val="1"/>
      </rPr>
      <t xml:space="preserve"> d</t>
    </r>
    <r>
      <rPr>
        <b/>
        <vertAlign val="superscript"/>
        <sz val="8"/>
        <color indexed="8"/>
        <rFont val="Palatino Linotype"/>
        <family val="1"/>
      </rPr>
      <t>-1</t>
    </r>
    <r>
      <rPr>
        <b/>
        <sz val="8"/>
        <color indexed="8"/>
        <rFont val="Palatino Linotype"/>
        <family val="1"/>
      </rPr>
      <t>)</t>
    </r>
  </si>
  <si>
    <r>
      <t>WY DIN (bulk)</t>
    </r>
    <r>
      <rPr>
        <b/>
        <vertAlign val="superscript"/>
        <sz val="8"/>
        <color indexed="8"/>
        <rFont val="Palatino Linotype"/>
        <family val="1"/>
      </rPr>
      <t>2</t>
    </r>
    <r>
      <rPr>
        <b/>
        <sz val="8"/>
        <color indexed="8"/>
        <rFont val="Palatino Linotype"/>
        <family val="1"/>
      </rPr>
      <t xml:space="preserve">             (g ha</t>
    </r>
    <r>
      <rPr>
        <b/>
        <vertAlign val="superscript"/>
        <sz val="8"/>
        <color indexed="8"/>
        <rFont val="Palatino Linotype"/>
        <family val="1"/>
      </rPr>
      <t>-1</t>
    </r>
    <r>
      <rPr>
        <b/>
        <sz val="8"/>
        <color indexed="8"/>
        <rFont val="Palatino Linotype"/>
        <family val="1"/>
      </rPr>
      <t xml:space="preserve"> d</t>
    </r>
    <r>
      <rPr>
        <b/>
        <vertAlign val="superscript"/>
        <sz val="8"/>
        <color indexed="8"/>
        <rFont val="Palatino Linotype"/>
        <family val="1"/>
      </rPr>
      <t>-1</t>
    </r>
    <r>
      <rPr>
        <b/>
        <sz val="8"/>
        <color indexed="8"/>
        <rFont val="Palatino Linotype"/>
        <family val="1"/>
      </rPr>
      <t>)</t>
    </r>
  </si>
  <si>
    <r>
      <t>WY SRP (bulk)</t>
    </r>
    <r>
      <rPr>
        <b/>
        <vertAlign val="superscript"/>
        <sz val="8"/>
        <color indexed="8"/>
        <rFont val="Palatino Linotype"/>
        <family val="1"/>
      </rPr>
      <t>2</t>
    </r>
    <r>
      <rPr>
        <b/>
        <sz val="8"/>
        <color indexed="8"/>
        <rFont val="Palatino Linotype"/>
        <family val="1"/>
      </rPr>
      <t xml:space="preserve">                (g ha</t>
    </r>
    <r>
      <rPr>
        <b/>
        <vertAlign val="superscript"/>
        <sz val="8"/>
        <color indexed="8"/>
        <rFont val="Palatino Linotype"/>
        <family val="1"/>
      </rPr>
      <t>-1</t>
    </r>
    <r>
      <rPr>
        <b/>
        <sz val="8"/>
        <color indexed="8"/>
        <rFont val="Palatino Linotype"/>
        <family val="1"/>
      </rPr>
      <t xml:space="preserve"> d</t>
    </r>
    <r>
      <rPr>
        <b/>
        <vertAlign val="superscript"/>
        <sz val="8"/>
        <color indexed="8"/>
        <rFont val="Palatino Linotype"/>
        <family val="1"/>
      </rPr>
      <t>-1</t>
    </r>
    <r>
      <rPr>
        <b/>
        <sz val="8"/>
        <color indexed="8"/>
        <rFont val="Palatino Linotype"/>
        <family val="1"/>
      </rPr>
      <t>)</t>
    </r>
  </si>
  <si>
    <r>
      <t>WY TP (bulk)</t>
    </r>
    <r>
      <rPr>
        <b/>
        <vertAlign val="superscript"/>
        <sz val="8"/>
        <color indexed="8"/>
        <rFont val="Palatino Linotype"/>
        <family val="1"/>
      </rPr>
      <t>2</t>
    </r>
    <r>
      <rPr>
        <b/>
        <sz val="8"/>
        <color indexed="8"/>
        <rFont val="Palatino Linotype"/>
        <family val="1"/>
      </rPr>
      <t xml:space="preserve">          (g ha</t>
    </r>
    <r>
      <rPr>
        <b/>
        <vertAlign val="superscript"/>
        <sz val="8"/>
        <color indexed="8"/>
        <rFont val="Palatino Linotype"/>
        <family val="1"/>
      </rPr>
      <t>-1</t>
    </r>
    <r>
      <rPr>
        <b/>
        <sz val="8"/>
        <color indexed="8"/>
        <rFont val="Palatino Linotype"/>
        <family val="1"/>
      </rPr>
      <t xml:space="preserve"> d</t>
    </r>
    <r>
      <rPr>
        <b/>
        <vertAlign val="superscript"/>
        <sz val="8"/>
        <color indexed="8"/>
        <rFont val="Palatino Linotype"/>
        <family val="1"/>
      </rPr>
      <t>-1</t>
    </r>
    <r>
      <rPr>
        <b/>
        <sz val="8"/>
        <color indexed="8"/>
        <rFont val="Palatino Linotype"/>
        <family val="1"/>
      </rPr>
      <t>)</t>
    </r>
  </si>
  <si>
    <t>CSD</t>
  </si>
  <si>
    <t>CC</t>
  </si>
  <si>
    <t>(34) Many small bugs in sample</t>
  </si>
  <si>
    <t>(37) 95ml sample + 405ml deionized water</t>
  </si>
  <si>
    <t>(38) Thunderstorms with rain and hail during period, some smoke and haze also.</t>
  </si>
  <si>
    <t>1.12+</t>
  </si>
  <si>
    <t>(40) Snow tube had leak, snow tube volume underestimated.</t>
  </si>
  <si>
    <t>0.37+</t>
  </si>
  <si>
    <t>(41) Snow tube had leak, snow tube volume underestimated.</t>
  </si>
  <si>
    <t>2.44+</t>
  </si>
  <si>
    <t>(42) Heavy rain during pd., windy.  Small amount of precip. lost durng storm.</t>
  </si>
  <si>
    <t>(43) Precip. mostly rain from atmospheric river storms.</t>
  </si>
  <si>
    <t>(44) Bucket out for extended period due to storms, windy at times.</t>
  </si>
  <si>
    <t>(45) Significant rain and snow this period with winds.</t>
  </si>
  <si>
    <t>(46) Significant rain and snow this period.</t>
  </si>
  <si>
    <t>(47) No precip. or trace of precip.</t>
  </si>
  <si>
    <t>(48) Moderate debris in bucket (pieces of insect wings and dark flakes).</t>
  </si>
  <si>
    <t>(49) 2 bugs and many plastic flakes.</t>
  </si>
  <si>
    <t>(50) Many dead bugs in sample.</t>
  </si>
  <si>
    <t>(36) Censored due to possible contamination from large dead bee or fly in sample.</t>
  </si>
  <si>
    <t>(39) Censored due to long time bucket sat out.   Bucket dry,added 500ml deionized water to process.  Pine cone see and wing in bucket - either transported by wind or bird.</t>
  </si>
  <si>
    <t>(24) Sample contaminated, likely with bird droppings</t>
  </si>
  <si>
    <t>(30) ST had many bird droppings in it.</t>
  </si>
  <si>
    <t>(33)Censor sample, contamination: 40-50 small bugs in sample; 5 birds (terns) sitting on buoy when arrived, one on ST; many bird droppings on buoy.</t>
  </si>
  <si>
    <t xml:space="preserve">(35) Bucket dry, added 500ml deionized water to process.  Many bird droppings in snow tube sample.  </t>
  </si>
  <si>
    <t>(38) Censored due to potential contamination  and long period bucket sat out dry. Bucket dry added 500ml deionized water to process.  Many bird droppings on buoy.</t>
  </si>
  <si>
    <t>(51) Censored, likely bird contamination, many bird droppings in nearby snowtube, NH4, TKN, SRP concentrations all elevated.</t>
  </si>
  <si>
    <t>(52) Censored due to potential contamination  and long period bucket sat out dry.  Bucket dry, added 500ml deionized water to process.  Several small bugs.  Nearby snowtube had many bird droppings.</t>
  </si>
  <si>
    <t>(53) Censored bucket and snow tube had bird droppings in them.</t>
  </si>
  <si>
    <t>(54) Censored due to potential contamination  and long period bucket sat out dry. Many bird droppings in nearby snow tube.</t>
  </si>
  <si>
    <t>Note- "NM" = not measured</t>
  </si>
  <si>
    <t>(56) 95ml sample + 405 ml deionized water to process; thunderstorms during period.</t>
  </si>
  <si>
    <t>(57) 235 ml sample + 265 ml deionized water to process; many small bugs in sample.</t>
  </si>
  <si>
    <t>(59) Censored due to long period bucket sat out.</t>
  </si>
  <si>
    <t>(67) 2 Terns at buoy</t>
  </si>
  <si>
    <t>(55) Many small black bugs in sample.</t>
  </si>
  <si>
    <t>(58) Precipitation from thunderstorms this period.</t>
  </si>
  <si>
    <t>(60) No TKN, TP samples.</t>
  </si>
  <si>
    <t>(62) Substantial rain this period.</t>
  </si>
  <si>
    <t>(63) Filter moderately dirty with particulates.</t>
  </si>
  <si>
    <t>(64) Significant snow this period; ST may have leaked or bridged with snow, no precip in ST.</t>
  </si>
  <si>
    <t>(65) Strong storm with much rain this period.</t>
  </si>
  <si>
    <t>(68) 2 Terns at buoy</t>
  </si>
  <si>
    <t>(69) Bucket dry, added 500ml deionized water to process; much pollen</t>
  </si>
  <si>
    <t>(66) Sample volume not recorded, unable to calculate load.</t>
  </si>
  <si>
    <t>(61) Censored, collection pd. &gt; 30 days</t>
  </si>
  <si>
    <t>Water Year</t>
  </si>
  <si>
    <r>
      <t>DIN Bulk (wet+dry)</t>
    </r>
    <r>
      <rPr>
        <b/>
        <vertAlign val="superscript"/>
        <sz val="8"/>
        <rFont val="Palatino Linotype"/>
        <family val="1"/>
      </rPr>
      <t>1</t>
    </r>
    <r>
      <rPr>
        <b/>
        <sz val="8"/>
        <rFont val="Palatino Linotype"/>
        <family val="1"/>
      </rPr>
      <t xml:space="preserve">      (g ha</t>
    </r>
    <r>
      <rPr>
        <b/>
        <vertAlign val="superscript"/>
        <sz val="8"/>
        <rFont val="Palatino Linotype"/>
        <family val="1"/>
      </rPr>
      <t>-1</t>
    </r>
    <r>
      <rPr>
        <b/>
        <sz val="8"/>
        <rFont val="Palatino Linotype"/>
        <family val="1"/>
      </rPr>
      <t xml:space="preserve"> yr</t>
    </r>
    <r>
      <rPr>
        <b/>
        <vertAlign val="superscript"/>
        <sz val="8"/>
        <rFont val="Palatino Linotype"/>
        <family val="1"/>
      </rPr>
      <t>-1</t>
    </r>
    <r>
      <rPr>
        <b/>
        <sz val="8"/>
        <rFont val="Palatino Linotype"/>
        <family val="1"/>
      </rPr>
      <t>)</t>
    </r>
  </si>
  <si>
    <r>
      <t>TN Bulk (wet+dry)</t>
    </r>
    <r>
      <rPr>
        <b/>
        <vertAlign val="superscript"/>
        <sz val="8"/>
        <rFont val="Palatino Linotype"/>
        <family val="1"/>
      </rPr>
      <t>1</t>
    </r>
    <r>
      <rPr>
        <b/>
        <sz val="8"/>
        <rFont val="Palatino Linotype"/>
        <family val="1"/>
      </rPr>
      <t xml:space="preserve">                       (g ha</t>
    </r>
    <r>
      <rPr>
        <b/>
        <vertAlign val="superscript"/>
        <sz val="8"/>
        <rFont val="Palatino Linotype"/>
        <family val="1"/>
      </rPr>
      <t>-1</t>
    </r>
    <r>
      <rPr>
        <b/>
        <sz val="8"/>
        <rFont val="Palatino Linotype"/>
        <family val="1"/>
      </rPr>
      <t xml:space="preserve"> yr</t>
    </r>
    <r>
      <rPr>
        <b/>
        <vertAlign val="superscript"/>
        <sz val="8"/>
        <rFont val="Palatino Linotype"/>
        <family val="1"/>
      </rPr>
      <t>-1</t>
    </r>
    <r>
      <rPr>
        <b/>
        <sz val="8"/>
        <rFont val="Palatino Linotype"/>
        <family val="1"/>
      </rPr>
      <t>)</t>
    </r>
  </si>
  <si>
    <r>
      <t>SRP Bulk (wet+dry)</t>
    </r>
    <r>
      <rPr>
        <b/>
        <vertAlign val="superscript"/>
        <sz val="8"/>
        <rFont val="Palatino Linotype"/>
        <family val="1"/>
      </rPr>
      <t xml:space="preserve">1                        </t>
    </r>
    <r>
      <rPr>
        <b/>
        <sz val="8"/>
        <rFont val="Palatino Linotype"/>
        <family val="1"/>
      </rPr>
      <t xml:space="preserve"> (g ha</t>
    </r>
    <r>
      <rPr>
        <b/>
        <vertAlign val="superscript"/>
        <sz val="8"/>
        <rFont val="Palatino Linotype"/>
        <family val="1"/>
      </rPr>
      <t>-1</t>
    </r>
    <r>
      <rPr>
        <b/>
        <sz val="8"/>
        <rFont val="Palatino Linotype"/>
        <family val="1"/>
      </rPr>
      <t xml:space="preserve"> yr</t>
    </r>
    <r>
      <rPr>
        <b/>
        <vertAlign val="superscript"/>
        <sz val="8"/>
        <rFont val="Palatino Linotype"/>
        <family val="1"/>
      </rPr>
      <t>-1</t>
    </r>
    <r>
      <rPr>
        <b/>
        <sz val="8"/>
        <rFont val="Palatino Linotype"/>
        <family val="1"/>
      </rPr>
      <t>)</t>
    </r>
  </si>
  <si>
    <r>
      <t>TP Bulk (wet+dry)</t>
    </r>
    <r>
      <rPr>
        <b/>
        <vertAlign val="superscript"/>
        <sz val="8"/>
        <rFont val="Palatino Linotype"/>
        <family val="1"/>
      </rPr>
      <t>1</t>
    </r>
    <r>
      <rPr>
        <b/>
        <sz val="8"/>
        <rFont val="Palatino Linotype"/>
        <family val="1"/>
      </rPr>
      <t xml:space="preserve">                 (g ha</t>
    </r>
    <r>
      <rPr>
        <b/>
        <vertAlign val="superscript"/>
        <sz val="8"/>
        <rFont val="Palatino Linotype"/>
        <family val="1"/>
      </rPr>
      <t>-1</t>
    </r>
    <r>
      <rPr>
        <b/>
        <sz val="8"/>
        <rFont val="Palatino Linotype"/>
        <family val="1"/>
      </rPr>
      <t xml:space="preserve"> yr</t>
    </r>
    <r>
      <rPr>
        <b/>
        <vertAlign val="superscript"/>
        <sz val="8"/>
        <rFont val="Palatino Linotype"/>
        <family val="1"/>
      </rPr>
      <t>-1</t>
    </r>
    <r>
      <rPr>
        <b/>
        <sz val="8"/>
        <rFont val="Palatino Linotype"/>
        <family val="1"/>
      </rPr>
      <t>)</t>
    </r>
  </si>
  <si>
    <t>Water Year Loads</t>
  </si>
  <si>
    <t>Water Year Average Daily Loading Rate</t>
  </si>
  <si>
    <t>%WY Represented by DIN Samples after Censoring</t>
  </si>
  <si>
    <t>%WY Represented by TN Samples after Censoring</t>
  </si>
  <si>
    <t>%WY Represented by SRP Samples after Censoring</t>
  </si>
  <si>
    <t>%WY Represented by TP Samples after Censoring</t>
  </si>
  <si>
    <t>(73) Very smokey much of period from fires in Calif.</t>
  </si>
  <si>
    <t>(72) Bucket dry, added 500 ml deionized water to process.  Approx. 12 small bugs in sample.  Smokey much of period from Calif. Wildfires: Ferguson, Mendocino Complex and Donnell fires.</t>
  </si>
  <si>
    <t>(75) Bucket dry, added 500 ml deionized water to process.</t>
  </si>
  <si>
    <t>(76) Many white plastic flakes in bucket; bucket frozen.</t>
  </si>
  <si>
    <t>(77) Windy during period.</t>
  </si>
  <si>
    <t>(70) Censored due to long period bucket sat out.  Bucket dry, added 500ml deionized water to process.</t>
  </si>
  <si>
    <t>(71) Censored due to possible contamination.  Many black bugs and possible other unknown debris in sample.  Smoke in basin on several days from Ferguson fire near Yosemite.</t>
  </si>
  <si>
    <t>(74) Censored due to long period bucket sat out.  Bucket dry, added 500 ml deionized water to process.</t>
  </si>
  <si>
    <r>
      <t xml:space="preserve">(81) TKN results (312.67 </t>
    </r>
    <r>
      <rPr>
        <sz val="8"/>
        <color theme="1"/>
        <rFont val="Calibri"/>
        <family val="2"/>
      </rPr>
      <t>µ</t>
    </r>
    <r>
      <rPr>
        <sz val="8"/>
        <color theme="1"/>
        <rFont val="Palatino Linotype"/>
        <family val="1"/>
      </rPr>
      <t>g/l) less than NH4, use NH4 as estimate of TKN.</t>
    </r>
  </si>
  <si>
    <t xml:space="preserve">Table A.  July, 2013 to July, 2019 summary of N and P concentrations, loads and average loading rates for samples collected from the mid-lake  (TB-1) atmospheric deposition station. </t>
  </si>
  <si>
    <t>Table B.  Summary of N and P concentrations in QA/QC samples collected July 2013 to June 2019.</t>
  </si>
  <si>
    <t xml:space="preserve">2-  WY loading per day was calculated by dividing the sum of loads for "good data" by the sum of collection period days for these samples.  </t>
  </si>
  <si>
    <r>
      <t>1-Total WY load (g ha</t>
    </r>
    <r>
      <rPr>
        <b/>
        <vertAlign val="superscript"/>
        <sz val="11"/>
        <color theme="1"/>
        <rFont val="Calibri"/>
        <family val="2"/>
      </rPr>
      <t xml:space="preserve">-1 </t>
    </r>
    <r>
      <rPr>
        <b/>
        <sz val="11"/>
        <color theme="1"/>
        <rFont val="Calibri"/>
        <family val="2"/>
      </rPr>
      <t>yr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 at mid-lake was estimated by summing the loads for uncensored "good " samples during the WY and dividing that by the % of the WY that was represented by uncensored "good" samples.</t>
    </r>
  </si>
  <si>
    <t xml:space="preserve">Legend: DF= Dry deposition; S=snow; R=rain, Precip.= precipitation occurred but not noted whether rain or snow; CC=Sample censored due to contamination; CSD=Censored, sample dry for prolonged period; NA=Not Available </t>
  </si>
  <si>
    <t>For instance, if the sum of DIN loading for uncensored samples was 2000 g/ha, and the sum of the collection periods represented by these samples was 328.5 days, this would represent 328.5/365 or 90% of the WY,</t>
  </si>
  <si>
    <t xml:space="preserve">loads for the whole WY were extrapolated by dividing 2000 g/ha by 90% = 2222.22 g/ha </t>
  </si>
  <si>
    <t xml:space="preserve">On-lake Deposition (Mid-lake Buoy TB-1) estimated WY loads 1994, 1998, 2000-2018.  </t>
  </si>
  <si>
    <t>On-lake Deposition (Mid-lake Buoy TB-1) average daily loading rates WY 1994, 1998, 2000-2018</t>
  </si>
  <si>
    <t>(78) Small dead fly in dry bucket; many bugs and bird feces in nearby snow tube</t>
  </si>
  <si>
    <t>(79) Nearby snow tube had bird feces in it.</t>
  </si>
  <si>
    <t>(80) Nearby snow tube had bird feces in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</si>
</sst>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m/d/yy\ h:mm;@"/>
    <numFmt numFmtId="166" formatCode="0.0000"/>
    <numFmt numFmtId="167" formatCode="0.000000"/>
  </numFmts>
  <fonts count="36">
    <font>
      <sz val="11"/>
      <color theme="1"/>
      <name val="Calibri"/>
      <family val="2"/>
      <scheme val="minor"/>
    </font>
    <font>
      <sz val="8"/>
      <color theme="1"/>
      <name val="Palatino Linotype"/>
      <family val="1"/>
    </font>
    <font>
      <sz val="8"/>
      <name val="Palatino Linotype"/>
      <family val="1"/>
    </font>
    <font>
      <sz val="8"/>
      <color indexed="8"/>
      <name val="Palatino Linotype"/>
      <family val="1"/>
    </font>
    <font>
      <sz val="10"/>
      <name val="Geneva"/>
    </font>
    <font>
      <sz val="8"/>
      <color rgb="FF000000"/>
      <name val="Palatino Linotype"/>
      <family val="1"/>
    </font>
    <font>
      <sz val="8"/>
      <color theme="1"/>
      <name val="Times New Roman"/>
      <family val="1"/>
    </font>
    <font>
      <b/>
      <sz val="12"/>
      <color theme="1"/>
      <name val="Palatino Linotype"/>
      <family val="1"/>
    </font>
    <font>
      <b/>
      <sz val="8"/>
      <color theme="1"/>
      <name val="Times New Roman"/>
      <family val="1"/>
    </font>
    <font>
      <b/>
      <sz val="8"/>
      <color theme="1"/>
      <name val="Palatino Linotype"/>
      <family val="1"/>
    </font>
    <font>
      <b/>
      <u/>
      <sz val="8"/>
      <color theme="1"/>
      <name val="Times New Roman"/>
      <family val="1"/>
    </font>
    <font>
      <b/>
      <u/>
      <sz val="8"/>
      <color theme="1"/>
      <name val="Palatino Linotype"/>
      <family val="1"/>
    </font>
    <font>
      <b/>
      <sz val="8"/>
      <name val="Palatino Linotype"/>
      <family val="1"/>
    </font>
    <font>
      <b/>
      <sz val="8"/>
      <color indexed="8"/>
      <name val="Palatino Linotype"/>
      <family val="1"/>
    </font>
    <font>
      <b/>
      <u/>
      <sz val="8"/>
      <name val="Palatino Linotype"/>
      <family val="1"/>
    </font>
    <font>
      <b/>
      <u/>
      <vertAlign val="superscript"/>
      <sz val="8"/>
      <name val="Palatino Linotype"/>
      <family val="1"/>
    </font>
    <font>
      <b/>
      <u/>
      <sz val="8"/>
      <color indexed="8"/>
      <name val="Palatino Linotype"/>
      <family val="1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name val="Verdana"/>
      <family val="2"/>
    </font>
    <font>
      <sz val="8"/>
      <color indexed="8"/>
      <name val="Calibri"/>
      <family val="2"/>
    </font>
    <font>
      <sz val="12"/>
      <color indexed="8"/>
      <name val="Arial Black"/>
      <family val="2"/>
    </font>
    <font>
      <sz val="10"/>
      <color indexed="8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Arial Black"/>
      <family val="2"/>
    </font>
    <font>
      <sz val="11"/>
      <color rgb="FF1F497D"/>
      <name val="Calibri"/>
      <family val="2"/>
      <scheme val="minor"/>
    </font>
    <font>
      <b/>
      <u/>
      <vertAlign val="superscript"/>
      <sz val="8"/>
      <color indexed="8"/>
      <name val="Palatino Linotype"/>
      <family val="1"/>
    </font>
    <font>
      <b/>
      <u/>
      <vertAlign val="superscript"/>
      <sz val="8"/>
      <color theme="1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sz val="8"/>
      <color theme="1"/>
      <name val="Calibri"/>
      <family val="2"/>
    </font>
    <font>
      <b/>
      <vertAlign val="superscript"/>
      <sz val="8"/>
      <name val="Palatino Linotype"/>
      <family val="1"/>
    </font>
    <font>
      <b/>
      <vertAlign val="superscript"/>
      <sz val="8"/>
      <color indexed="8"/>
      <name val="Palatino Linotype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9" fontId="17" fillId="0" borderId="0" applyFont="0" applyFill="0" applyBorder="0" applyAlignment="0" applyProtection="0"/>
    <xf numFmtId="0" fontId="17" fillId="0" borderId="0"/>
    <xf numFmtId="0" fontId="18" fillId="0" borderId="0"/>
    <xf numFmtId="0" fontId="20" fillId="0" borderId="0"/>
    <xf numFmtId="0" fontId="20" fillId="0" borderId="0"/>
  </cellStyleXfs>
  <cellXfs count="185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 vertical="top" wrapText="1"/>
    </xf>
    <xf numFmtId="166" fontId="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164" fontId="1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2" fontId="16" fillId="0" borderId="0" xfId="0" applyNumberFormat="1" applyFont="1" applyFill="1" applyAlignment="1">
      <alignment horizontal="center" vertical="top" wrapText="1"/>
    </xf>
    <xf numFmtId="0" fontId="5" fillId="0" borderId="7" xfId="0" applyFont="1" applyFill="1" applyBorder="1" applyAlignment="1">
      <alignment horizontal="center" wrapText="1"/>
    </xf>
    <xf numFmtId="2" fontId="1" fillId="0" borderId="7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/>
    <xf numFmtId="167" fontId="1" fillId="0" borderId="7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 wrapText="1"/>
    </xf>
    <xf numFmtId="0" fontId="9" fillId="0" borderId="0" xfId="0" applyFont="1" applyFill="1" applyAlignment="1"/>
    <xf numFmtId="0" fontId="1" fillId="0" borderId="7" xfId="0" applyFont="1" applyFill="1" applyBorder="1"/>
    <xf numFmtId="0" fontId="25" fillId="0" borderId="0" xfId="0" applyFont="1" applyFill="1" applyAlignment="1">
      <alignment horizontal="left" vertical="center" indent="5"/>
    </xf>
    <xf numFmtId="0" fontId="7" fillId="0" borderId="0" xfId="0" applyFont="1" applyFill="1"/>
    <xf numFmtId="22" fontId="1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165" fontId="1" fillId="0" borderId="7" xfId="0" applyNumberFormat="1" applyFont="1" applyFill="1" applyBorder="1" applyAlignment="1">
      <alignment horizontal="center" wrapText="1"/>
    </xf>
    <xf numFmtId="2" fontId="1" fillId="0" borderId="0" xfId="0" applyNumberFormat="1" applyFont="1" applyFill="1"/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8" fillId="0" borderId="0" xfId="4" applyFill="1"/>
    <xf numFmtId="0" fontId="19" fillId="0" borderId="0" xfId="4" applyFont="1" applyFill="1"/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0" fontId="30" fillId="0" borderId="0" xfId="0" applyFont="1" applyFill="1"/>
    <xf numFmtId="0" fontId="24" fillId="0" borderId="9" xfId="3" applyFont="1" applyFill="1" applyBorder="1"/>
    <xf numFmtId="0" fontId="17" fillId="0" borderId="11" xfId="3" applyFill="1" applyBorder="1"/>
    <xf numFmtId="0" fontId="17" fillId="0" borderId="10" xfId="3" applyFill="1" applyBorder="1"/>
    <xf numFmtId="0" fontId="23" fillId="0" borderId="0" xfId="3" applyFont="1" applyFill="1"/>
    <xf numFmtId="0" fontId="19" fillId="0" borderId="0" xfId="3" applyFont="1" applyFill="1"/>
    <xf numFmtId="0" fontId="1" fillId="0" borderId="5" xfId="0" applyFont="1" applyFill="1" applyBorder="1"/>
    <xf numFmtId="0" fontId="8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0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/>
    <xf numFmtId="0" fontId="11" fillId="0" borderId="8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22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22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22" fontId="1" fillId="0" borderId="3" xfId="0" applyNumberFormat="1" applyFont="1" applyFill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0" fontId="9" fillId="0" borderId="9" xfId="0" applyFont="1" applyFill="1" applyBorder="1"/>
    <xf numFmtId="0" fontId="1" fillId="0" borderId="11" xfId="0" applyFont="1" applyFill="1" applyBorder="1"/>
    <xf numFmtId="0" fontId="1" fillId="0" borderId="10" xfId="0" applyFont="1" applyFill="1" applyBorder="1"/>
    <xf numFmtId="0" fontId="11" fillId="0" borderId="14" xfId="0" applyFont="1" applyFill="1" applyBorder="1"/>
    <xf numFmtId="0" fontId="1" fillId="0" borderId="12" xfId="0" applyFont="1" applyFill="1" applyBorder="1"/>
    <xf numFmtId="0" fontId="1" fillId="0" borderId="9" xfId="0" applyFont="1" applyFill="1" applyBorder="1"/>
    <xf numFmtId="0" fontId="1" fillId="0" borderId="6" xfId="0" applyFont="1" applyFill="1" applyBorder="1"/>
    <xf numFmtId="0" fontId="1" fillId="0" borderId="4" xfId="0" applyFont="1" applyFill="1" applyBorder="1"/>
    <xf numFmtId="0" fontId="12" fillId="0" borderId="1" xfId="4" applyFont="1" applyFill="1" applyBorder="1" applyAlignment="1">
      <alignment horizontal="center"/>
    </xf>
    <xf numFmtId="0" fontId="13" fillId="0" borderId="2" xfId="6" applyFont="1" applyFill="1" applyBorder="1" applyAlignment="1">
      <alignment horizontal="center" wrapText="1"/>
    </xf>
    <xf numFmtId="0" fontId="12" fillId="0" borderId="3" xfId="4" applyFont="1" applyFill="1" applyBorder="1" applyAlignment="1">
      <alignment horizontal="center"/>
    </xf>
    <xf numFmtId="0" fontId="13" fillId="0" borderId="4" xfId="6" applyFont="1" applyFill="1" applyBorder="1" applyAlignment="1">
      <alignment horizontal="center"/>
    </xf>
    <xf numFmtId="0" fontId="2" fillId="0" borderId="5" xfId="4" applyFont="1" applyFill="1" applyBorder="1" applyAlignment="1">
      <alignment horizontal="center"/>
    </xf>
    <xf numFmtId="0" fontId="2" fillId="0" borderId="6" xfId="4" applyFont="1" applyFill="1" applyBorder="1" applyAlignment="1">
      <alignment horizontal="center"/>
    </xf>
    <xf numFmtId="2" fontId="3" fillId="0" borderId="6" xfId="5" applyNumberFormat="1" applyFont="1" applyFill="1" applyBorder="1" applyAlignment="1">
      <alignment horizontal="center"/>
    </xf>
    <xf numFmtId="0" fontId="2" fillId="0" borderId="3" xfId="4" applyFont="1" applyFill="1" applyBorder="1" applyAlignment="1">
      <alignment horizontal="center"/>
    </xf>
    <xf numFmtId="0" fontId="3" fillId="0" borderId="3" xfId="5" applyFont="1" applyFill="1" applyBorder="1" applyAlignment="1">
      <alignment horizontal="center"/>
    </xf>
    <xf numFmtId="2" fontId="3" fillId="0" borderId="3" xfId="5" applyNumberFormat="1" applyFont="1" applyFill="1" applyBorder="1" applyAlignment="1">
      <alignment horizontal="center"/>
    </xf>
    <xf numFmtId="0" fontId="2" fillId="0" borderId="4" xfId="4" applyFont="1" applyFill="1" applyBorder="1" applyAlignment="1">
      <alignment horizontal="center"/>
    </xf>
    <xf numFmtId="2" fontId="2" fillId="0" borderId="3" xfId="5" applyNumberFormat="1" applyFont="1" applyFill="1" applyBorder="1" applyAlignment="1">
      <alignment horizontal="center"/>
    </xf>
    <xf numFmtId="2" fontId="2" fillId="0" borderId="3" xfId="4" applyNumberFormat="1" applyFont="1" applyFill="1" applyBorder="1" applyAlignment="1">
      <alignment horizontal="center"/>
    </xf>
    <xf numFmtId="0" fontId="12" fillId="0" borderId="1" xfId="3" applyFont="1" applyFill="1" applyBorder="1" applyAlignment="1">
      <alignment horizontal="center"/>
    </xf>
    <xf numFmtId="0" fontId="13" fillId="0" borderId="1" xfId="6" applyFont="1" applyFill="1" applyBorder="1" applyAlignment="1">
      <alignment horizontal="center" wrapText="1"/>
    </xf>
    <xf numFmtId="0" fontId="13" fillId="0" borderId="13" xfId="6" applyFont="1" applyFill="1" applyBorder="1" applyAlignment="1">
      <alignment horizontal="center" wrapText="1"/>
    </xf>
    <xf numFmtId="0" fontId="13" fillId="0" borderId="8" xfId="6" applyFont="1" applyFill="1" applyBorder="1" applyAlignment="1">
      <alignment horizontal="center" wrapText="1"/>
    </xf>
    <xf numFmtId="0" fontId="12" fillId="0" borderId="3" xfId="3" applyFont="1" applyFill="1" applyBorder="1" applyAlignment="1">
      <alignment horizontal="center"/>
    </xf>
    <xf numFmtId="0" fontId="1" fillId="0" borderId="5" xfId="3" applyFont="1" applyFill="1" applyBorder="1" applyAlignment="1">
      <alignment horizontal="center"/>
    </xf>
    <xf numFmtId="0" fontId="1" fillId="0" borderId="10" xfId="3" applyFont="1" applyFill="1" applyBorder="1" applyAlignment="1">
      <alignment horizontal="center"/>
    </xf>
    <xf numFmtId="2" fontId="1" fillId="0" borderId="10" xfId="3" applyNumberFormat="1" applyFont="1" applyFill="1" applyBorder="1" applyAlignment="1">
      <alignment horizontal="center"/>
    </xf>
    <xf numFmtId="9" fontId="1" fillId="0" borderId="10" xfId="2" applyFont="1" applyFill="1" applyBorder="1" applyAlignment="1">
      <alignment horizontal="center"/>
    </xf>
    <xf numFmtId="0" fontId="1" fillId="0" borderId="11" xfId="3" applyFont="1" applyFill="1" applyBorder="1" applyAlignment="1">
      <alignment horizontal="center"/>
    </xf>
    <xf numFmtId="0" fontId="1" fillId="0" borderId="3" xfId="3" applyFont="1" applyFill="1" applyBorder="1" applyAlignment="1">
      <alignment horizontal="center"/>
    </xf>
    <xf numFmtId="9" fontId="1" fillId="0" borderId="4" xfId="2" applyFont="1" applyFill="1" applyBorder="1" applyAlignment="1">
      <alignment horizontal="center"/>
    </xf>
    <xf numFmtId="0" fontId="2" fillId="0" borderId="6" xfId="3" applyFont="1" applyFill="1" applyBorder="1" applyAlignment="1">
      <alignment horizontal="center"/>
    </xf>
    <xf numFmtId="2" fontId="1" fillId="0" borderId="6" xfId="3" applyNumberFormat="1" applyFont="1" applyFill="1" applyBorder="1" applyAlignment="1">
      <alignment horizontal="center"/>
    </xf>
    <xf numFmtId="10" fontId="1" fillId="0" borderId="6" xfId="3" applyNumberFormat="1" applyFont="1" applyFill="1" applyBorder="1" applyAlignment="1">
      <alignment horizontal="center"/>
    </xf>
    <xf numFmtId="9" fontId="1" fillId="0" borderId="6" xfId="2" applyFont="1" applyFill="1" applyBorder="1" applyAlignment="1">
      <alignment horizontal="center"/>
    </xf>
    <xf numFmtId="9" fontId="1" fillId="0" borderId="6" xfId="3" applyNumberFormat="1" applyFont="1" applyFill="1" applyBorder="1" applyAlignment="1">
      <alignment horizontal="center"/>
    </xf>
    <xf numFmtId="10" fontId="1" fillId="0" borderId="3" xfId="3" applyNumberFormat="1" applyFont="1" applyFill="1" applyBorder="1" applyAlignment="1">
      <alignment horizontal="center"/>
    </xf>
    <xf numFmtId="2" fontId="1" fillId="0" borderId="3" xfId="3" applyNumberFormat="1" applyFont="1" applyFill="1" applyBorder="1" applyAlignment="1">
      <alignment horizontal="center"/>
    </xf>
    <xf numFmtId="2" fontId="1" fillId="0" borderId="0" xfId="3" applyNumberFormat="1" applyFont="1" applyFill="1" applyBorder="1" applyAlignment="1">
      <alignment horizontal="center"/>
    </xf>
    <xf numFmtId="9" fontId="1" fillId="0" borderId="0" xfId="2" applyFont="1" applyFill="1" applyBorder="1" applyAlignment="1">
      <alignment horizontal="center"/>
    </xf>
    <xf numFmtId="9" fontId="1" fillId="0" borderId="0" xfId="3" applyNumberFormat="1" applyFont="1" applyFill="1" applyBorder="1" applyAlignment="1">
      <alignment horizontal="center"/>
    </xf>
    <xf numFmtId="9" fontId="1" fillId="0" borderId="3" xfId="2" applyFont="1" applyFill="1" applyBorder="1" applyAlignment="1">
      <alignment horizontal="center"/>
    </xf>
    <xf numFmtId="9" fontId="2" fillId="0" borderId="3" xfId="2" applyNumberFormat="1" applyFont="1" applyFill="1" applyBorder="1" applyAlignment="1">
      <alignment horizontal="center"/>
    </xf>
    <xf numFmtId="2" fontId="2" fillId="0" borderId="3" xfId="2" applyNumberFormat="1" applyFont="1" applyFill="1" applyBorder="1" applyAlignment="1">
      <alignment horizontal="center"/>
    </xf>
    <xf numFmtId="0" fontId="1" fillId="0" borderId="3" xfId="4" applyFont="1" applyFill="1" applyBorder="1" applyAlignment="1">
      <alignment horizontal="center"/>
    </xf>
    <xf numFmtId="2" fontId="1" fillId="0" borderId="3" xfId="5" applyNumberFormat="1" applyFont="1" applyFill="1" applyBorder="1" applyAlignment="1">
      <alignment horizontal="center"/>
    </xf>
    <xf numFmtId="2" fontId="1" fillId="0" borderId="3" xfId="4" applyNumberFormat="1" applyFont="1" applyFill="1" applyBorder="1" applyAlignment="1">
      <alignment horizontal="center"/>
    </xf>
    <xf numFmtId="2" fontId="2" fillId="0" borderId="0" xfId="5" applyNumberFormat="1" applyFont="1" applyFill="1" applyBorder="1" applyAlignment="1">
      <alignment horizontal="center"/>
    </xf>
    <xf numFmtId="2" fontId="2" fillId="0" borderId="0" xfId="4" applyNumberFormat="1" applyFont="1" applyFill="1" applyBorder="1" applyAlignment="1">
      <alignment horizontal="center"/>
    </xf>
    <xf numFmtId="9" fontId="2" fillId="0" borderId="0" xfId="2" applyNumberFormat="1" applyFont="1" applyFill="1" applyBorder="1" applyAlignment="1">
      <alignment horizontal="center"/>
    </xf>
    <xf numFmtId="2" fontId="2" fillId="0" borderId="0" xfId="2" applyNumberFormat="1" applyFont="1" applyFill="1" applyBorder="1" applyAlignment="1">
      <alignment horizontal="center"/>
    </xf>
    <xf numFmtId="2" fontId="2" fillId="0" borderId="4" xfId="4" applyNumberFormat="1" applyFont="1" applyFill="1" applyBorder="1" applyAlignment="1">
      <alignment horizontal="center"/>
    </xf>
    <xf numFmtId="0" fontId="21" fillId="0" borderId="15" xfId="5" applyFont="1" applyFill="1" applyBorder="1" applyAlignment="1">
      <alignment horizontal="left"/>
    </xf>
    <xf numFmtId="0" fontId="22" fillId="0" borderId="13" xfId="5" applyFont="1" applyFill="1" applyBorder="1"/>
    <xf numFmtId="0" fontId="22" fillId="0" borderId="2" xfId="5" applyFont="1" applyFill="1" applyBorder="1"/>
    <xf numFmtId="2" fontId="2" fillId="0" borderId="14" xfId="4" applyNumberFormat="1" applyFont="1" applyFill="1" applyBorder="1" applyAlignment="1">
      <alignment horizontal="center"/>
    </xf>
    <xf numFmtId="9" fontId="2" fillId="0" borderId="14" xfId="2" applyNumberFormat="1" applyFont="1" applyFill="1" applyBorder="1" applyAlignment="1">
      <alignment horizontal="center"/>
    </xf>
    <xf numFmtId="2" fontId="2" fillId="0" borderId="14" xfId="2" applyNumberFormat="1" applyFont="1" applyFill="1" applyBorder="1" applyAlignment="1">
      <alignment horizontal="center"/>
    </xf>
    <xf numFmtId="2" fontId="2" fillId="0" borderId="8" xfId="4" applyNumberFormat="1" applyFont="1" applyFill="1" applyBorder="1" applyAlignment="1">
      <alignment horizontal="center"/>
    </xf>
    <xf numFmtId="0" fontId="17" fillId="0" borderId="13" xfId="3" applyFill="1" applyBorder="1"/>
    <xf numFmtId="2" fontId="2" fillId="0" borderId="8" xfId="5" applyNumberFormat="1" applyFont="1" applyFill="1" applyBorder="1" applyAlignment="1">
      <alignment horizontal="center"/>
    </xf>
    <xf numFmtId="2" fontId="2" fillId="0" borderId="14" xfId="5" applyNumberFormat="1" applyFont="1" applyFill="1" applyBorder="1" applyAlignment="1">
      <alignment horizontal="center"/>
    </xf>
    <xf numFmtId="0" fontId="19" fillId="0" borderId="0" xfId="4" applyFont="1" applyFill="1" applyBorder="1"/>
    <xf numFmtId="22" fontId="1" fillId="0" borderId="0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9" fontId="2" fillId="0" borderId="6" xfId="2" applyNumberFormat="1" applyFont="1" applyFill="1" applyBorder="1" applyAlignment="1">
      <alignment horizontal="center"/>
    </xf>
    <xf numFmtId="0" fontId="2" fillId="0" borderId="11" xfId="4" applyFont="1" applyFill="1" applyBorder="1" applyAlignment="1">
      <alignment horizontal="center"/>
    </xf>
    <xf numFmtId="2" fontId="2" fillId="0" borderId="8" xfId="2" applyNumberFormat="1" applyFont="1" applyFill="1" applyBorder="1" applyAlignment="1">
      <alignment horizontal="center"/>
    </xf>
    <xf numFmtId="9" fontId="2" fillId="0" borderId="6" xfId="2" applyFont="1" applyFill="1" applyBorder="1" applyAlignment="1">
      <alignment horizontal="center"/>
    </xf>
    <xf numFmtId="9" fontId="2" fillId="0" borderId="14" xfId="2" applyFont="1" applyFill="1" applyBorder="1" applyAlignment="1">
      <alignment horizontal="center"/>
    </xf>
    <xf numFmtId="9" fontId="2" fillId="0" borderId="11" xfId="2" applyNumberFormat="1" applyFont="1" applyFill="1" applyBorder="1" applyAlignment="1">
      <alignment horizontal="center"/>
    </xf>
    <xf numFmtId="0" fontId="2" fillId="0" borderId="8" xfId="4" applyFont="1" applyFill="1" applyBorder="1" applyAlignment="1">
      <alignment horizontal="center"/>
    </xf>
    <xf numFmtId="2" fontId="2" fillId="0" borderId="6" xfId="5" applyNumberFormat="1" applyFont="1" applyFill="1" applyBorder="1" applyAlignment="1">
      <alignment horizontal="center"/>
    </xf>
    <xf numFmtId="2" fontId="2" fillId="0" borderId="11" xfId="5" applyNumberFormat="1" applyFont="1" applyFill="1" applyBorder="1" applyAlignment="1">
      <alignment horizontal="center"/>
    </xf>
    <xf numFmtId="2" fontId="2" fillId="0" borderId="11" xfId="4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22" fontId="1" fillId="0" borderId="6" xfId="0" applyNumberFormat="1" applyFont="1" applyFill="1" applyBorder="1" applyAlignment="1">
      <alignment horizontal="center" vertical="center"/>
    </xf>
    <xf numFmtId="0" fontId="1" fillId="0" borderId="6" xfId="0" quotePrefix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1" fillId="0" borderId="0" xfId="4" applyNumberFormat="1" applyFont="1" applyFill="1" applyBorder="1" applyAlignment="1">
      <alignment horizontal="center"/>
    </xf>
    <xf numFmtId="2" fontId="1" fillId="0" borderId="3" xfId="2" applyNumberFormat="1" applyFont="1" applyFill="1" applyBorder="1" applyAlignment="1">
      <alignment horizontal="center"/>
    </xf>
    <xf numFmtId="2" fontId="2" fillId="0" borderId="6" xfId="4" applyNumberFormat="1" applyFont="1" applyFill="1" applyBorder="1" applyAlignment="1">
      <alignment horizontal="center"/>
    </xf>
    <xf numFmtId="2" fontId="2" fillId="0" borderId="6" xfId="2" applyNumberFormat="1" applyFont="1" applyFill="1" applyBorder="1" applyAlignment="1">
      <alignment horizontal="center"/>
    </xf>
    <xf numFmtId="0" fontId="1" fillId="0" borderId="13" xfId="0" applyFont="1" applyFill="1" applyBorder="1"/>
    <xf numFmtId="0" fontId="6" fillId="0" borderId="8" xfId="0" applyFont="1" applyFill="1" applyBorder="1" applyAlignment="1">
      <alignment horizontal="center" vertical="center"/>
    </xf>
    <xf numFmtId="22" fontId="1" fillId="0" borderId="8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6" fillId="0" borderId="1" xfId="0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0" fontId="1" fillId="0" borderId="14" xfId="0" applyFont="1" applyFill="1" applyBorder="1"/>
    <xf numFmtId="0" fontId="6" fillId="0" borderId="15" xfId="0" applyFont="1" applyFill="1" applyBorder="1" applyAlignment="1">
      <alignment vertical="center"/>
    </xf>
    <xf numFmtId="22" fontId="1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35" fillId="0" borderId="0" xfId="0" applyFont="1"/>
    <xf numFmtId="0" fontId="9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top" wrapText="1"/>
    </xf>
  </cellXfs>
  <cellStyles count="7">
    <cellStyle name="Normal" xfId="0" builtinId="0"/>
    <cellStyle name="Normal 4" xfId="5"/>
    <cellStyle name="Normal 4 2" xfId="6"/>
    <cellStyle name="Normal 7" xfId="4"/>
    <cellStyle name="Normal 7 2" xfId="3"/>
    <cellStyle name="Normal_Sheet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59212</xdr:rowOff>
    </xdr:from>
    <xdr:to>
      <xdr:col>1</xdr:col>
      <xdr:colOff>700405</xdr:colOff>
      <xdr:row>2</xdr:row>
      <xdr:rowOff>77055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212"/>
          <a:ext cx="1317625" cy="353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L277"/>
  <sheetViews>
    <sheetView tabSelected="1" zoomScaleNormal="100" workbookViewId="0">
      <selection activeCell="B2" sqref="B2"/>
    </sheetView>
  </sheetViews>
  <sheetFormatPr defaultColWidth="9.109375" defaultRowHeight="12"/>
  <cols>
    <col min="1" max="1" width="9" style="24" customWidth="1"/>
    <col min="2" max="2" width="17.6640625" style="24" customWidth="1"/>
    <col min="3" max="3" width="17.33203125" style="24" customWidth="1"/>
    <col min="4" max="4" width="14.109375" style="24" customWidth="1"/>
    <col min="5" max="5" width="8.88671875" style="24" customWidth="1"/>
    <col min="6" max="6" width="12.109375" style="24" customWidth="1"/>
    <col min="7" max="7" width="11.88671875" style="24" customWidth="1"/>
    <col min="8" max="8" width="15.88671875" style="24" customWidth="1"/>
    <col min="9" max="9" width="15.109375" style="24" customWidth="1"/>
    <col min="10" max="10" width="14.5546875" style="24" customWidth="1"/>
    <col min="11" max="11" width="9.5546875" style="24" bestFit="1" customWidth="1"/>
    <col min="12" max="13" width="9.33203125" style="24" bestFit="1" customWidth="1"/>
    <col min="14" max="20" width="9.109375" style="24"/>
    <col min="21" max="21" width="10.88671875" style="24" customWidth="1"/>
    <col min="22" max="22" width="10.44140625" style="24" customWidth="1"/>
    <col min="23" max="23" width="10.33203125" style="24" customWidth="1"/>
    <col min="24" max="24" width="10.44140625" style="24" customWidth="1"/>
    <col min="25" max="25" width="10.109375" style="24" customWidth="1"/>
    <col min="26" max="26" width="10" style="24" customWidth="1"/>
    <col min="27" max="27" width="10.88671875" style="24" customWidth="1"/>
    <col min="28" max="16384" width="9.109375" style="24"/>
  </cols>
  <sheetData>
    <row r="2" spans="1:38" ht="14.4">
      <c r="C2" s="33"/>
      <c r="D2" s="33"/>
    </row>
    <row r="5" spans="1:38" ht="17.399999999999999">
      <c r="B5" s="34" t="s">
        <v>177</v>
      </c>
    </row>
    <row r="6" spans="1:38">
      <c r="A6" s="2"/>
      <c r="B6" s="2"/>
      <c r="C6" s="2"/>
      <c r="D6" s="2"/>
      <c r="F6" s="2"/>
      <c r="G6" s="2"/>
    </row>
    <row r="7" spans="1:38" s="2" customFormat="1">
      <c r="A7" s="6" t="s">
        <v>43</v>
      </c>
      <c r="B7" s="6" t="s">
        <v>0</v>
      </c>
      <c r="C7" s="6"/>
      <c r="D7" s="6" t="s">
        <v>26</v>
      </c>
      <c r="E7" s="150" t="s">
        <v>27</v>
      </c>
      <c r="F7" s="6"/>
      <c r="G7" s="6"/>
      <c r="H7" s="8" t="s">
        <v>5</v>
      </c>
      <c r="I7" s="183" t="s">
        <v>28</v>
      </c>
      <c r="J7" s="183"/>
      <c r="K7" s="183"/>
      <c r="L7" s="183"/>
      <c r="M7" s="183"/>
      <c r="N7" s="184" t="s">
        <v>2</v>
      </c>
      <c r="O7" s="184"/>
      <c r="P7" s="184"/>
      <c r="Q7" s="184"/>
      <c r="R7" s="184"/>
      <c r="S7" s="184"/>
      <c r="T7" s="184"/>
      <c r="U7" s="184" t="s">
        <v>50</v>
      </c>
      <c r="V7" s="184"/>
      <c r="W7" s="184"/>
      <c r="X7" s="184"/>
      <c r="Y7" s="184"/>
      <c r="Z7" s="184"/>
      <c r="AA7" s="184"/>
      <c r="AB7" s="6"/>
      <c r="AD7" s="3"/>
      <c r="AE7" s="3"/>
      <c r="AF7" s="3"/>
      <c r="AG7" s="3"/>
      <c r="AH7" s="3"/>
      <c r="AI7" s="3"/>
      <c r="AK7" s="3"/>
      <c r="AL7" s="15"/>
    </row>
    <row r="8" spans="1:38" s="2" customFormat="1">
      <c r="A8" s="6" t="s">
        <v>29</v>
      </c>
      <c r="B8" s="6" t="s">
        <v>22</v>
      </c>
      <c r="C8" s="6" t="s">
        <v>24</v>
      </c>
      <c r="D8" s="6" t="s">
        <v>3</v>
      </c>
      <c r="E8" s="6" t="s">
        <v>87</v>
      </c>
      <c r="F8" s="6" t="s">
        <v>1</v>
      </c>
      <c r="G8" s="6" t="s">
        <v>5</v>
      </c>
      <c r="H8" s="10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9" t="s">
        <v>7</v>
      </c>
      <c r="O8" s="9" t="s">
        <v>8</v>
      </c>
      <c r="P8" s="9" t="s">
        <v>12</v>
      </c>
      <c r="Q8" s="9" t="s">
        <v>9</v>
      </c>
      <c r="R8" s="9" t="s">
        <v>13</v>
      </c>
      <c r="S8" s="9" t="s">
        <v>10</v>
      </c>
      <c r="T8" s="9" t="s">
        <v>11</v>
      </c>
      <c r="U8" s="9" t="s">
        <v>7</v>
      </c>
      <c r="V8" s="9" t="s">
        <v>8</v>
      </c>
      <c r="W8" s="9" t="s">
        <v>12</v>
      </c>
      <c r="X8" s="9" t="s">
        <v>9</v>
      </c>
      <c r="Y8" s="9" t="s">
        <v>13</v>
      </c>
      <c r="Z8" s="9" t="s">
        <v>10</v>
      </c>
      <c r="AA8" s="9" t="s">
        <v>11</v>
      </c>
      <c r="AB8" s="6"/>
      <c r="AD8" s="4"/>
      <c r="AE8" s="4"/>
      <c r="AF8" s="4"/>
      <c r="AG8" s="4"/>
      <c r="AH8" s="4"/>
      <c r="AI8" s="4"/>
      <c r="AK8" s="3"/>
      <c r="AL8" s="15"/>
    </row>
    <row r="9" spans="1:38" s="2" customFormat="1" ht="13.2">
      <c r="A9" s="7" t="s">
        <v>14</v>
      </c>
      <c r="B9" s="18" t="s">
        <v>23</v>
      </c>
      <c r="C9" s="18" t="s">
        <v>25</v>
      </c>
      <c r="D9" s="7" t="s">
        <v>15</v>
      </c>
      <c r="E9" s="7" t="s">
        <v>4</v>
      </c>
      <c r="F9" s="7" t="s">
        <v>16</v>
      </c>
      <c r="G9" s="7" t="s">
        <v>17</v>
      </c>
      <c r="H9" s="11" t="s">
        <v>41</v>
      </c>
      <c r="I9" s="7" t="s">
        <v>49</v>
      </c>
      <c r="J9" s="7" t="s">
        <v>49</v>
      </c>
      <c r="K9" s="7" t="s">
        <v>49</v>
      </c>
      <c r="L9" s="7" t="s">
        <v>49</v>
      </c>
      <c r="M9" s="7" t="s">
        <v>49</v>
      </c>
      <c r="N9" s="12" t="s">
        <v>48</v>
      </c>
      <c r="O9" s="12" t="s">
        <v>48</v>
      </c>
      <c r="P9" s="12" t="s">
        <v>48</v>
      </c>
      <c r="Q9" s="12" t="s">
        <v>48</v>
      </c>
      <c r="R9" s="12" t="s">
        <v>48</v>
      </c>
      <c r="S9" s="12" t="s">
        <v>48</v>
      </c>
      <c r="T9" s="12" t="s">
        <v>48</v>
      </c>
      <c r="U9" s="12" t="s">
        <v>47</v>
      </c>
      <c r="V9" s="12" t="s">
        <v>47</v>
      </c>
      <c r="W9" s="12" t="s">
        <v>47</v>
      </c>
      <c r="X9" s="12" t="s">
        <v>47</v>
      </c>
      <c r="Y9" s="12" t="s">
        <v>47</v>
      </c>
      <c r="Z9" s="12" t="s">
        <v>47</v>
      </c>
      <c r="AA9" s="12" t="s">
        <v>47</v>
      </c>
      <c r="AB9" s="7" t="s">
        <v>18</v>
      </c>
      <c r="AD9" s="4"/>
      <c r="AE9" s="4"/>
      <c r="AF9" s="4"/>
      <c r="AG9" s="4"/>
      <c r="AH9" s="4"/>
      <c r="AI9" s="4"/>
      <c r="AK9" s="3"/>
      <c r="AL9" s="3"/>
    </row>
    <row r="10" spans="1:38">
      <c r="A10" s="2">
        <v>1</v>
      </c>
      <c r="B10" s="35">
        <v>41452.296527777777</v>
      </c>
      <c r="C10" s="35">
        <v>41465.477083333331</v>
      </c>
      <c r="D10" s="16">
        <v>0.5</v>
      </c>
      <c r="E10" s="36">
        <v>0</v>
      </c>
      <c r="F10" s="16" t="s">
        <v>19</v>
      </c>
      <c r="G10" s="16" t="s">
        <v>20</v>
      </c>
      <c r="H10" s="21">
        <v>5.0670699999999999E-2</v>
      </c>
      <c r="I10" s="17">
        <v>196.69</v>
      </c>
      <c r="J10" s="17">
        <v>134.78</v>
      </c>
      <c r="K10" s="17">
        <v>744.75</v>
      </c>
      <c r="L10" s="17">
        <v>11.03</v>
      </c>
      <c r="M10" s="17">
        <v>95.88</v>
      </c>
      <c r="N10" s="17">
        <f t="shared" ref="N10:O27" si="0">$D10*I10/($H10*100)</f>
        <v>19.408652337544183</v>
      </c>
      <c r="O10" s="17">
        <f t="shared" si="0"/>
        <v>13.29959917664449</v>
      </c>
      <c r="P10" s="15">
        <f t="shared" ref="P10:P27" si="1">N10+O10</f>
        <v>32.708251514188674</v>
      </c>
      <c r="Q10" s="17">
        <f t="shared" ref="Q10:Q27" si="2">$D10*K10/($H10*100)</f>
        <v>73.489215661121705</v>
      </c>
      <c r="R10" s="17">
        <f t="shared" ref="R10:R27" si="3">Q10+N10</f>
        <v>92.897867998665888</v>
      </c>
      <c r="S10" s="17">
        <f t="shared" ref="S10:T27" si="4">$D10*L10/($H10*100)</f>
        <v>1.0884001997209432</v>
      </c>
      <c r="T10" s="17">
        <f t="shared" si="4"/>
        <v>9.4610889527873105</v>
      </c>
      <c r="U10" s="17">
        <f t="shared" ref="U10:AA27" si="5">N10/($C10-$B10)</f>
        <v>1.472521568285845</v>
      </c>
      <c r="V10" s="17">
        <f t="shared" si="5"/>
        <v>1.009031760504175</v>
      </c>
      <c r="W10" s="17">
        <f t="shared" si="5"/>
        <v>2.48155332879002</v>
      </c>
      <c r="X10" s="17">
        <f t="shared" si="5"/>
        <v>5.5755780059020941</v>
      </c>
      <c r="Y10" s="17">
        <f t="shared" si="5"/>
        <v>7.0480995741879386</v>
      </c>
      <c r="Z10" s="17">
        <f t="shared" si="5"/>
        <v>8.2576200611077677E-2</v>
      </c>
      <c r="AA10" s="17">
        <f t="shared" si="5"/>
        <v>0.71780653804080941</v>
      </c>
      <c r="AB10" s="24" t="s">
        <v>55</v>
      </c>
    </row>
    <row r="11" spans="1:38">
      <c r="A11" s="2">
        <f>A10+1</f>
        <v>2</v>
      </c>
      <c r="B11" s="35">
        <v>41465.477083333331</v>
      </c>
      <c r="C11" s="35">
        <v>41479.318749999999</v>
      </c>
      <c r="D11" s="16">
        <v>0.5</v>
      </c>
      <c r="E11" s="36">
        <v>0</v>
      </c>
      <c r="F11" s="16" t="s">
        <v>19</v>
      </c>
      <c r="G11" s="16" t="s">
        <v>20</v>
      </c>
      <c r="H11" s="21">
        <v>5.0670699999999999E-2</v>
      </c>
      <c r="I11" s="17">
        <v>245.73</v>
      </c>
      <c r="J11" s="17">
        <v>173.5</v>
      </c>
      <c r="K11" s="17">
        <v>534.6</v>
      </c>
      <c r="L11" s="17">
        <v>10.36</v>
      </c>
      <c r="M11" s="17">
        <v>42.53</v>
      </c>
      <c r="N11" s="17">
        <f t="shared" si="0"/>
        <v>24.247740804843822</v>
      </c>
      <c r="O11" s="17">
        <f t="shared" si="0"/>
        <v>17.120347656535237</v>
      </c>
      <c r="P11" s="15">
        <f t="shared" si="1"/>
        <v>41.36808846137906</v>
      </c>
      <c r="Q11" s="17">
        <f t="shared" si="2"/>
        <v>52.752379580309729</v>
      </c>
      <c r="R11" s="17">
        <f t="shared" si="3"/>
        <v>77.000120385153551</v>
      </c>
      <c r="S11" s="17">
        <f t="shared" si="4"/>
        <v>1.02228704162366</v>
      </c>
      <c r="T11" s="17">
        <f t="shared" si="4"/>
        <v>4.196705393846937</v>
      </c>
      <c r="U11" s="17">
        <f t="shared" si="5"/>
        <v>1.7517934356298355</v>
      </c>
      <c r="V11" s="17">
        <f t="shared" si="5"/>
        <v>1.236870390598529</v>
      </c>
      <c r="W11" s="17">
        <f t="shared" si="5"/>
        <v>2.9886638262283642</v>
      </c>
      <c r="X11" s="17">
        <f t="shared" si="5"/>
        <v>3.81112916895662</v>
      </c>
      <c r="Y11" s="17">
        <f t="shared" si="5"/>
        <v>5.562922604586455</v>
      </c>
      <c r="Z11" s="17">
        <f t="shared" si="5"/>
        <v>7.385577663746834E-2</v>
      </c>
      <c r="AA11" s="17">
        <f t="shared" si="5"/>
        <v>0.30319364675593907</v>
      </c>
      <c r="AB11" s="24" t="s">
        <v>56</v>
      </c>
    </row>
    <row r="12" spans="1:38">
      <c r="A12" s="2">
        <f t="shared" ref="A12:A27" si="6">A11+1</f>
        <v>3</v>
      </c>
      <c r="B12" s="35">
        <v>41479.318749999999</v>
      </c>
      <c r="C12" s="35">
        <v>41491.348611111112</v>
      </c>
      <c r="D12" s="16">
        <v>0.5</v>
      </c>
      <c r="E12" s="36">
        <v>0</v>
      </c>
      <c r="F12" s="16" t="s">
        <v>19</v>
      </c>
      <c r="G12" s="16" t="s">
        <v>20</v>
      </c>
      <c r="H12" s="21">
        <v>5.0670699999999999E-2</v>
      </c>
      <c r="I12" s="17">
        <v>304.88</v>
      </c>
      <c r="J12" s="17">
        <v>351.75</v>
      </c>
      <c r="K12" s="17">
        <v>575.72</v>
      </c>
      <c r="L12" s="17">
        <v>3.38</v>
      </c>
      <c r="M12" s="17">
        <v>24.08</v>
      </c>
      <c r="N12" s="17">
        <f t="shared" si="0"/>
        <v>30.084447224924855</v>
      </c>
      <c r="O12" s="17">
        <f t="shared" si="0"/>
        <v>34.709408001073598</v>
      </c>
      <c r="P12" s="15">
        <f t="shared" si="1"/>
        <v>64.793855225998456</v>
      </c>
      <c r="Q12" s="17">
        <f t="shared" si="2"/>
        <v>56.809951313086259</v>
      </c>
      <c r="R12" s="17">
        <f t="shared" si="3"/>
        <v>86.894398538011117</v>
      </c>
      <c r="S12" s="17">
        <f t="shared" si="4"/>
        <v>0.33352608114748755</v>
      </c>
      <c r="T12" s="17">
        <f t="shared" si="4"/>
        <v>2.3761266372874261</v>
      </c>
      <c r="U12" s="17">
        <f t="shared" si="5"/>
        <v>2.5008141779069382</v>
      </c>
      <c r="V12" s="17">
        <f t="shared" si="5"/>
        <v>2.8852708838846945</v>
      </c>
      <c r="W12" s="17">
        <f t="shared" si="5"/>
        <v>5.3860850617916327</v>
      </c>
      <c r="X12" s="17">
        <f t="shared" si="5"/>
        <v>4.7224112388631019</v>
      </c>
      <c r="Y12" s="17">
        <f t="shared" si="5"/>
        <v>7.2232254167700409</v>
      </c>
      <c r="Z12" s="17">
        <f t="shared" si="5"/>
        <v>2.7724848862914757E-2</v>
      </c>
      <c r="AA12" s="17">
        <f t="shared" si="5"/>
        <v>0.19751904160325071</v>
      </c>
      <c r="AB12" s="24" t="s">
        <v>56</v>
      </c>
    </row>
    <row r="13" spans="1:38">
      <c r="A13" s="2">
        <f t="shared" si="6"/>
        <v>4</v>
      </c>
      <c r="B13" s="35">
        <v>41491.348611111112</v>
      </c>
      <c r="C13" s="35">
        <v>41501.40625</v>
      </c>
      <c r="D13" s="16">
        <v>0.5</v>
      </c>
      <c r="E13" s="36">
        <v>0</v>
      </c>
      <c r="F13" s="16" t="s">
        <v>19</v>
      </c>
      <c r="G13" s="16" t="s">
        <v>20</v>
      </c>
      <c r="H13" s="21">
        <v>5.0670699999999999E-2</v>
      </c>
      <c r="I13" s="17">
        <v>378.08</v>
      </c>
      <c r="J13" s="17">
        <v>707.73</v>
      </c>
      <c r="K13" s="17">
        <v>794.95</v>
      </c>
      <c r="L13" s="17">
        <v>1.81</v>
      </c>
      <c r="M13" s="17">
        <v>6.14</v>
      </c>
      <c r="N13" s="17">
        <f t="shared" si="0"/>
        <v>37.30755643794145</v>
      </c>
      <c r="O13" s="17">
        <f t="shared" si="0"/>
        <v>69.836216985358405</v>
      </c>
      <c r="P13" s="15">
        <f t="shared" si="1"/>
        <v>107.14377342329985</v>
      </c>
      <c r="Q13" s="17">
        <f t="shared" si="2"/>
        <v>78.442768700649495</v>
      </c>
      <c r="R13" s="17">
        <f t="shared" si="3"/>
        <v>115.75032513859094</v>
      </c>
      <c r="S13" s="17">
        <f t="shared" si="4"/>
        <v>0.1786042032180333</v>
      </c>
      <c r="T13" s="17">
        <f t="shared" si="4"/>
        <v>0.60587282196614611</v>
      </c>
      <c r="U13" s="17">
        <f t="shared" si="5"/>
        <v>3.7093752171955119</v>
      </c>
      <c r="V13" s="17">
        <f t="shared" si="5"/>
        <v>6.9435995621714452</v>
      </c>
      <c r="W13" s="17">
        <f t="shared" si="5"/>
        <v>10.652974779366955</v>
      </c>
      <c r="X13" s="17">
        <f t="shared" si="5"/>
        <v>7.7993224421010705</v>
      </c>
      <c r="Y13" s="17">
        <f t="shared" si="5"/>
        <v>11.508697659296582</v>
      </c>
      <c r="Z13" s="17">
        <f t="shared" si="5"/>
        <v>1.7758064809362772E-2</v>
      </c>
      <c r="AA13" s="17">
        <f t="shared" si="5"/>
        <v>6.0240065154412943E-2</v>
      </c>
      <c r="AB13" s="24" t="s">
        <v>57</v>
      </c>
    </row>
    <row r="14" spans="1:38">
      <c r="A14" s="2">
        <f t="shared" si="6"/>
        <v>5</v>
      </c>
      <c r="B14" s="35">
        <v>41501.40625</v>
      </c>
      <c r="C14" s="35">
        <v>41508.430555555555</v>
      </c>
      <c r="D14" s="16">
        <v>1.339</v>
      </c>
      <c r="E14" s="36">
        <v>0</v>
      </c>
      <c r="F14" s="2"/>
      <c r="G14" s="16" t="s">
        <v>20</v>
      </c>
      <c r="H14" s="21">
        <v>5.0670699999999999E-2</v>
      </c>
      <c r="I14" s="17">
        <v>138.96</v>
      </c>
      <c r="J14" s="17">
        <v>222.56</v>
      </c>
      <c r="K14" s="17">
        <v>396.8</v>
      </c>
      <c r="L14" s="17">
        <v>3.39</v>
      </c>
      <c r="M14" s="17">
        <v>6.75</v>
      </c>
      <c r="N14" s="17">
        <f t="shared" si="0"/>
        <v>36.720913664109631</v>
      </c>
      <c r="O14" s="17">
        <f t="shared" si="0"/>
        <v>58.812655045223366</v>
      </c>
      <c r="P14" s="15">
        <f t="shared" si="1"/>
        <v>95.533568709332997</v>
      </c>
      <c r="Q14" s="17">
        <f t="shared" si="2"/>
        <v>104.85649497638674</v>
      </c>
      <c r="R14" s="17">
        <f t="shared" si="3"/>
        <v>141.57740864049637</v>
      </c>
      <c r="S14" s="17">
        <f t="shared" si="4"/>
        <v>0.8958253981097557</v>
      </c>
      <c r="T14" s="17">
        <f t="shared" si="4"/>
        <v>1.7837231378291596</v>
      </c>
      <c r="U14" s="17">
        <f t="shared" si="5"/>
        <v>5.2276930970167035</v>
      </c>
      <c r="V14" s="17">
        <f t="shared" si="5"/>
        <v>8.3727358640762617</v>
      </c>
      <c r="W14" s="17">
        <f t="shared" si="5"/>
        <v>13.600428961092966</v>
      </c>
      <c r="X14" s="17">
        <f t="shared" si="5"/>
        <v>14.927667104895134</v>
      </c>
      <c r="Y14" s="17">
        <f t="shared" si="5"/>
        <v>20.155360201911837</v>
      </c>
      <c r="Z14" s="17">
        <f t="shared" si="5"/>
        <v>0.12753223660684099</v>
      </c>
      <c r="AA14" s="17">
        <f t="shared" si="5"/>
        <v>0.25393586934990464</v>
      </c>
      <c r="AB14" s="24" t="s">
        <v>58</v>
      </c>
    </row>
    <row r="15" spans="1:38">
      <c r="A15" s="2">
        <f t="shared" si="6"/>
        <v>6</v>
      </c>
      <c r="B15" s="35">
        <v>41508.430555555555</v>
      </c>
      <c r="C15" s="35">
        <v>41516.337500000001</v>
      </c>
      <c r="D15" s="16">
        <v>0.56499999999999995</v>
      </c>
      <c r="E15" s="36">
        <v>0</v>
      </c>
      <c r="F15" s="16" t="s">
        <v>19</v>
      </c>
      <c r="G15" s="16" t="s">
        <v>20</v>
      </c>
      <c r="H15" s="21">
        <v>5.0670699999999999E-2</v>
      </c>
      <c r="I15" s="17">
        <v>632.65</v>
      </c>
      <c r="J15" s="17">
        <v>3304.97</v>
      </c>
      <c r="K15" s="17">
        <v>3036.01</v>
      </c>
      <c r="L15" s="17">
        <v>55.57</v>
      </c>
      <c r="M15" s="17">
        <v>77.06</v>
      </c>
      <c r="N15" s="17">
        <f t="shared" si="0"/>
        <v>70.543183733400156</v>
      </c>
      <c r="O15" s="17">
        <f t="shared" si="0"/>
        <v>368.51830545068441</v>
      </c>
      <c r="P15" s="15">
        <f t="shared" si="1"/>
        <v>439.06148918408456</v>
      </c>
      <c r="Q15" s="17">
        <f t="shared" si="2"/>
        <v>338.52811388040817</v>
      </c>
      <c r="R15" s="17">
        <f t="shared" si="3"/>
        <v>409.07129761380833</v>
      </c>
      <c r="S15" s="17">
        <f t="shared" si="4"/>
        <v>6.1962929266814939</v>
      </c>
      <c r="T15" s="17">
        <f t="shared" si="4"/>
        <v>8.5925199375576025</v>
      </c>
      <c r="U15" s="17">
        <f t="shared" si="5"/>
        <v>8.9216743874993103</v>
      </c>
      <c r="V15" s="17">
        <f t="shared" si="5"/>
        <v>46.606917253542385</v>
      </c>
      <c r="W15" s="17">
        <f t="shared" si="5"/>
        <v>55.5285916410417</v>
      </c>
      <c r="X15" s="17">
        <f t="shared" si="5"/>
        <v>42.814024590518898</v>
      </c>
      <c r="Y15" s="17">
        <f t="shared" si="5"/>
        <v>51.735698978018213</v>
      </c>
      <c r="Z15" s="17">
        <f t="shared" si="5"/>
        <v>0.78365201250823791</v>
      </c>
      <c r="AA15" s="17">
        <f t="shared" si="5"/>
        <v>1.0867054900825053</v>
      </c>
      <c r="AB15" s="24" t="s">
        <v>59</v>
      </c>
    </row>
    <row r="16" spans="1:38">
      <c r="A16" s="2">
        <f t="shared" si="6"/>
        <v>7</v>
      </c>
      <c r="B16" s="35">
        <v>41516.337500000001</v>
      </c>
      <c r="C16" s="35">
        <v>41521.326388888891</v>
      </c>
      <c r="D16" s="37">
        <v>2.0779999999999998</v>
      </c>
      <c r="E16" s="17">
        <v>0</v>
      </c>
      <c r="F16" s="16" t="s">
        <v>19</v>
      </c>
      <c r="G16" s="16" t="s">
        <v>20</v>
      </c>
      <c r="H16" s="21">
        <v>5.0670699999999999E-2</v>
      </c>
      <c r="I16" s="17">
        <v>105.44</v>
      </c>
      <c r="J16" s="17">
        <v>578.76</v>
      </c>
      <c r="K16" s="17">
        <v>729.62</v>
      </c>
      <c r="L16" s="17">
        <v>3.38</v>
      </c>
      <c r="M16" s="17">
        <v>4.91</v>
      </c>
      <c r="N16" s="17">
        <f t="shared" si="0"/>
        <v>43.240831486440875</v>
      </c>
      <c r="O16" s="17">
        <f t="shared" si="0"/>
        <v>237.34885841324473</v>
      </c>
      <c r="P16" s="15">
        <f t="shared" si="1"/>
        <v>280.5896898996856</v>
      </c>
      <c r="Q16" s="17">
        <f t="shared" si="2"/>
        <v>299.21638343263459</v>
      </c>
      <c r="R16" s="17">
        <f t="shared" si="3"/>
        <v>342.45721491907545</v>
      </c>
      <c r="S16" s="17">
        <f t="shared" si="4"/>
        <v>1.3861343932489583</v>
      </c>
      <c r="T16" s="17">
        <f t="shared" si="4"/>
        <v>2.0135857606072149</v>
      </c>
      <c r="U16" s="17">
        <f t="shared" si="5"/>
        <v>8.6674272467250617</v>
      </c>
      <c r="V16" s="17">
        <f t="shared" si="5"/>
        <v>47.575495004880473</v>
      </c>
      <c r="W16" s="17">
        <f t="shared" si="5"/>
        <v>56.242922251605535</v>
      </c>
      <c r="X16" s="17">
        <f t="shared" si="5"/>
        <v>59.976557926361338</v>
      </c>
      <c r="Y16" s="17">
        <f t="shared" si="5"/>
        <v>68.643985173086392</v>
      </c>
      <c r="Z16" s="17">
        <f t="shared" si="5"/>
        <v>0.27784431045078439</v>
      </c>
      <c r="AA16" s="17">
        <f t="shared" si="5"/>
        <v>0.40361407228205676</v>
      </c>
      <c r="AB16" s="24" t="s">
        <v>60</v>
      </c>
    </row>
    <row r="17" spans="1:28">
      <c r="A17" s="2">
        <f t="shared" si="6"/>
        <v>8</v>
      </c>
      <c r="B17" s="35">
        <v>41521.326388888891</v>
      </c>
      <c r="C17" s="35">
        <v>41528.399305555555</v>
      </c>
      <c r="D17" s="16">
        <v>1.167</v>
      </c>
      <c r="E17" s="36">
        <v>0</v>
      </c>
      <c r="F17" s="16" t="s">
        <v>19</v>
      </c>
      <c r="G17" s="16" t="s">
        <v>20</v>
      </c>
      <c r="H17" s="21">
        <v>5.0670699999999999E-2</v>
      </c>
      <c r="I17" s="17">
        <v>120.33</v>
      </c>
      <c r="J17" s="17">
        <v>361.27</v>
      </c>
      <c r="K17" s="17">
        <v>771.54</v>
      </c>
      <c r="L17" s="17">
        <v>1.35</v>
      </c>
      <c r="M17" s="17">
        <v>3.99</v>
      </c>
      <c r="N17" s="17">
        <f t="shared" si="0"/>
        <v>27.713276114204064</v>
      </c>
      <c r="O17" s="17">
        <f t="shared" si="0"/>
        <v>83.204315314372991</v>
      </c>
      <c r="P17" s="15">
        <f t="shared" si="1"/>
        <v>110.91759142857705</v>
      </c>
      <c r="Q17" s="17">
        <f t="shared" si="2"/>
        <v>177.69385068688609</v>
      </c>
      <c r="R17" s="17">
        <f t="shared" si="3"/>
        <v>205.40712680109016</v>
      </c>
      <c r="S17" s="17">
        <f t="shared" si="4"/>
        <v>0.31091932813243162</v>
      </c>
      <c r="T17" s="17">
        <f t="shared" si="4"/>
        <v>0.91893934759140894</v>
      </c>
      <c r="U17" s="17">
        <f t="shared" si="5"/>
        <v>3.9182246052496352</v>
      </c>
      <c r="V17" s="17">
        <f t="shared" si="5"/>
        <v>11.763791266837329</v>
      </c>
      <c r="W17" s="17">
        <f t="shared" si="5"/>
        <v>15.682015872086964</v>
      </c>
      <c r="X17" s="17">
        <f t="shared" si="5"/>
        <v>25.123136474148623</v>
      </c>
      <c r="Y17" s="17">
        <f t="shared" si="5"/>
        <v>29.041361079398257</v>
      </c>
      <c r="Z17" s="17">
        <f t="shared" si="5"/>
        <v>4.395913917632352E-2</v>
      </c>
      <c r="AA17" s="17">
        <f t="shared" si="5"/>
        <v>0.12992367801002283</v>
      </c>
      <c r="AB17" s="24" t="s">
        <v>61</v>
      </c>
    </row>
    <row r="18" spans="1:28">
      <c r="A18" s="2">
        <f t="shared" si="6"/>
        <v>9</v>
      </c>
      <c r="B18" s="35">
        <v>41528.399305555555</v>
      </c>
      <c r="C18" s="35">
        <v>41536.54583333333</v>
      </c>
      <c r="D18" s="16">
        <v>1.282</v>
      </c>
      <c r="E18" s="36">
        <f>120/824</f>
        <v>0.14563106796116504</v>
      </c>
      <c r="F18" s="16" t="s">
        <v>62</v>
      </c>
      <c r="G18" s="16" t="s">
        <v>20</v>
      </c>
      <c r="H18" s="21">
        <v>5.0670699999999999E-2</v>
      </c>
      <c r="I18" s="17">
        <v>162.09</v>
      </c>
      <c r="J18" s="17">
        <v>492.45</v>
      </c>
      <c r="K18" s="17">
        <v>732.15</v>
      </c>
      <c r="L18" s="17">
        <v>0.9</v>
      </c>
      <c r="M18" s="17">
        <v>18.89</v>
      </c>
      <c r="N18" s="17">
        <f t="shared" si="0"/>
        <v>41.009770932708648</v>
      </c>
      <c r="O18" s="17">
        <f t="shared" si="0"/>
        <v>124.59289096065379</v>
      </c>
      <c r="P18" s="15">
        <f t="shared" si="1"/>
        <v>165.60266189336244</v>
      </c>
      <c r="Q18" s="17">
        <f t="shared" si="2"/>
        <v>185.23847114802047</v>
      </c>
      <c r="R18" s="17">
        <f t="shared" si="3"/>
        <v>226.24824208072911</v>
      </c>
      <c r="S18" s="17">
        <f t="shared" si="4"/>
        <v>0.22770555764968711</v>
      </c>
      <c r="T18" s="17">
        <f t="shared" si="4"/>
        <v>4.779286648891766</v>
      </c>
      <c r="U18" s="17">
        <f t="shared" si="5"/>
        <v>5.0340184249526221</v>
      </c>
      <c r="V18" s="17">
        <f t="shared" si="5"/>
        <v>15.293987126706883</v>
      </c>
      <c r="W18" s="17">
        <f t="shared" si="5"/>
        <v>20.328005551659505</v>
      </c>
      <c r="X18" s="17">
        <f t="shared" si="5"/>
        <v>22.738334195996433</v>
      </c>
      <c r="Y18" s="17">
        <f t="shared" si="5"/>
        <v>27.772352620949057</v>
      </c>
      <c r="Z18" s="17">
        <f t="shared" si="5"/>
        <v>2.7951240560536491E-2</v>
      </c>
      <c r="AA18" s="17">
        <f t="shared" si="5"/>
        <v>0.5866654824317048</v>
      </c>
      <c r="AB18" s="24" t="s">
        <v>63</v>
      </c>
    </row>
    <row r="19" spans="1:28" s="44" customFormat="1">
      <c r="A19" s="42">
        <f t="shared" si="6"/>
        <v>10</v>
      </c>
      <c r="B19" s="179">
        <v>41536.54583333333</v>
      </c>
      <c r="C19" s="179">
        <v>41555.402777777781</v>
      </c>
      <c r="D19" s="20">
        <v>0.5</v>
      </c>
      <c r="E19" s="180">
        <v>7.0000000000000007E-2</v>
      </c>
      <c r="F19" s="20" t="s">
        <v>19</v>
      </c>
      <c r="G19" s="20" t="s">
        <v>20</v>
      </c>
      <c r="H19" s="21">
        <v>5.0670699999999999E-2</v>
      </c>
      <c r="I19" s="19">
        <v>451.35</v>
      </c>
      <c r="J19" s="19">
        <v>302.57</v>
      </c>
      <c r="K19" s="19">
        <v>572.45000000000005</v>
      </c>
      <c r="L19" s="19">
        <v>2.52</v>
      </c>
      <c r="M19" s="19">
        <v>22.67</v>
      </c>
      <c r="N19" s="19" t="s">
        <v>111</v>
      </c>
      <c r="O19" s="19" t="s">
        <v>111</v>
      </c>
      <c r="P19" s="19" t="s">
        <v>111</v>
      </c>
      <c r="Q19" s="19" t="s">
        <v>111</v>
      </c>
      <c r="R19" s="19" t="s">
        <v>111</v>
      </c>
      <c r="S19" s="19" t="s">
        <v>111</v>
      </c>
      <c r="T19" s="19" t="s">
        <v>111</v>
      </c>
      <c r="U19" s="19" t="s">
        <v>111</v>
      </c>
      <c r="V19" s="19" t="s">
        <v>111</v>
      </c>
      <c r="W19" s="19" t="s">
        <v>111</v>
      </c>
      <c r="X19" s="19" t="s">
        <v>111</v>
      </c>
      <c r="Y19" s="19" t="s">
        <v>111</v>
      </c>
      <c r="Z19" s="19" t="s">
        <v>111</v>
      </c>
      <c r="AA19" s="19" t="s">
        <v>111</v>
      </c>
      <c r="AB19" s="44" t="s">
        <v>90</v>
      </c>
    </row>
    <row r="20" spans="1:28">
      <c r="A20" s="2">
        <f t="shared" si="6"/>
        <v>11</v>
      </c>
      <c r="B20" s="35">
        <v>41555.402777777781</v>
      </c>
      <c r="C20" s="35">
        <v>41564.464583333334</v>
      </c>
      <c r="D20" s="2">
        <v>1.86</v>
      </c>
      <c r="E20" s="17">
        <v>0.03</v>
      </c>
      <c r="F20" s="2" t="s">
        <v>64</v>
      </c>
      <c r="G20" s="16" t="s">
        <v>20</v>
      </c>
      <c r="H20" s="5">
        <v>4.1043000000000003E-2</v>
      </c>
      <c r="I20" s="17">
        <v>108.83</v>
      </c>
      <c r="J20" s="17">
        <v>138.82</v>
      </c>
      <c r="K20" s="17">
        <v>169.23</v>
      </c>
      <c r="L20" s="17">
        <v>2.06</v>
      </c>
      <c r="M20" s="17">
        <v>5.64</v>
      </c>
      <c r="N20" s="17">
        <f t="shared" si="0"/>
        <v>49.319932753453692</v>
      </c>
      <c r="O20" s="17">
        <f t="shared" si="0"/>
        <v>62.910898326145741</v>
      </c>
      <c r="P20" s="15">
        <f t="shared" si="1"/>
        <v>112.23083107959943</v>
      </c>
      <c r="Q20" s="17">
        <f t="shared" si="2"/>
        <v>76.692200862510049</v>
      </c>
      <c r="R20" s="17">
        <f t="shared" si="3"/>
        <v>126.01213361596373</v>
      </c>
      <c r="S20" s="17">
        <f t="shared" si="4"/>
        <v>0.93355748848768372</v>
      </c>
      <c r="T20" s="17">
        <f t="shared" si="4"/>
        <v>2.5559535121701629</v>
      </c>
      <c r="U20" s="17">
        <f t="shared" si="5"/>
        <v>5.4426165349828386</v>
      </c>
      <c r="V20" s="17">
        <f t="shared" si="5"/>
        <v>6.9424242156236105</v>
      </c>
      <c r="W20" s="17">
        <f t="shared" si="5"/>
        <v>12.385040750606448</v>
      </c>
      <c r="X20" s="17">
        <f t="shared" si="5"/>
        <v>8.463236205229677</v>
      </c>
      <c r="Y20" s="17">
        <f t="shared" si="5"/>
        <v>13.905852740212515</v>
      </c>
      <c r="Z20" s="17">
        <f t="shared" si="5"/>
        <v>0.10302113444881603</v>
      </c>
      <c r="AA20" s="17">
        <f t="shared" si="5"/>
        <v>0.28205786324821475</v>
      </c>
      <c r="AB20" s="24" t="s">
        <v>65</v>
      </c>
    </row>
    <row r="21" spans="1:28">
      <c r="A21" s="2">
        <f t="shared" si="6"/>
        <v>12</v>
      </c>
      <c r="B21" s="35">
        <v>41564.464583333334</v>
      </c>
      <c r="C21" s="35">
        <v>41584.425000000003</v>
      </c>
      <c r="D21" s="2">
        <v>1.26</v>
      </c>
      <c r="E21" s="17">
        <v>0.04</v>
      </c>
      <c r="F21" s="2" t="s">
        <v>66</v>
      </c>
      <c r="G21" s="16" t="s">
        <v>20</v>
      </c>
      <c r="H21" s="5">
        <v>4.1043000000000003E-2</v>
      </c>
      <c r="I21" s="17">
        <v>147.72</v>
      </c>
      <c r="J21" s="17">
        <v>245.94</v>
      </c>
      <c r="K21" s="17">
        <v>356.71</v>
      </c>
      <c r="L21" s="17">
        <v>0.68</v>
      </c>
      <c r="M21" s="17">
        <v>5.46</v>
      </c>
      <c r="N21" s="17">
        <f t="shared" si="0"/>
        <v>45.349316570426133</v>
      </c>
      <c r="O21" s="17">
        <f t="shared" si="0"/>
        <v>75.50237555734229</v>
      </c>
      <c r="P21" s="15">
        <f t="shared" si="1"/>
        <v>120.85169212776842</v>
      </c>
      <c r="Q21" s="17">
        <f t="shared" si="2"/>
        <v>109.50822308310795</v>
      </c>
      <c r="R21" s="17">
        <f t="shared" si="3"/>
        <v>154.85753965353408</v>
      </c>
      <c r="S21" s="17">
        <f t="shared" si="4"/>
        <v>0.20875666983407648</v>
      </c>
      <c r="T21" s="17">
        <f t="shared" si="4"/>
        <v>1.6761932607265551</v>
      </c>
      <c r="U21" s="17">
        <f t="shared" si="5"/>
        <v>2.2719624208122773</v>
      </c>
      <c r="V21" s="17">
        <f t="shared" si="5"/>
        <v>3.7826051839600017</v>
      </c>
      <c r="W21" s="17">
        <f t="shared" si="5"/>
        <v>6.054567604772279</v>
      </c>
      <c r="X21" s="17">
        <f t="shared" si="5"/>
        <v>5.4862693956671231</v>
      </c>
      <c r="Y21" s="17">
        <f t="shared" si="5"/>
        <v>7.7582318164794</v>
      </c>
      <c r="Z21" s="17">
        <f t="shared" si="5"/>
        <v>1.0458532670947393E-2</v>
      </c>
      <c r="AA21" s="17">
        <f t="shared" si="5"/>
        <v>8.3975865269665814E-2</v>
      </c>
      <c r="AB21" s="24" t="s">
        <v>67</v>
      </c>
    </row>
    <row r="22" spans="1:28">
      <c r="A22" s="2">
        <f t="shared" si="6"/>
        <v>13</v>
      </c>
      <c r="B22" s="35">
        <v>41584.425000000003</v>
      </c>
      <c r="C22" s="35">
        <v>41592.388888888891</v>
      </c>
      <c r="D22" s="2">
        <v>2.5099999999999998</v>
      </c>
      <c r="E22" s="17">
        <v>0</v>
      </c>
      <c r="F22" s="2" t="s">
        <v>19</v>
      </c>
      <c r="G22" s="16" t="s">
        <v>20</v>
      </c>
      <c r="H22" s="5">
        <v>4.1043000000000003E-2</v>
      </c>
      <c r="I22" s="17">
        <v>42.91</v>
      </c>
      <c r="J22" s="17">
        <v>50.73</v>
      </c>
      <c r="K22" s="17">
        <v>268.44</v>
      </c>
      <c r="L22" s="17">
        <v>1.1299999999999999</v>
      </c>
      <c r="M22" s="17">
        <v>5.78</v>
      </c>
      <c r="N22" s="17">
        <f t="shared" si="0"/>
        <v>26.24177082571936</v>
      </c>
      <c r="O22" s="17">
        <f t="shared" si="0"/>
        <v>31.024121043783342</v>
      </c>
      <c r="P22" s="15">
        <f t="shared" si="1"/>
        <v>57.265891869502703</v>
      </c>
      <c r="Q22" s="17">
        <f t="shared" si="2"/>
        <v>164.16548497916816</v>
      </c>
      <c r="R22" s="17">
        <f t="shared" si="3"/>
        <v>190.40725580488751</v>
      </c>
      <c r="S22" s="17">
        <f t="shared" si="4"/>
        <v>0.69105572204760846</v>
      </c>
      <c r="T22" s="17">
        <f t="shared" si="4"/>
        <v>3.534780595960334</v>
      </c>
      <c r="U22" s="17">
        <f t="shared" si="5"/>
        <v>3.2950950461320208</v>
      </c>
      <c r="V22" s="17">
        <f t="shared" si="5"/>
        <v>3.8955994334718582</v>
      </c>
      <c r="W22" s="17">
        <f t="shared" si="5"/>
        <v>7.190694479603879</v>
      </c>
      <c r="X22" s="17">
        <f t="shared" si="5"/>
        <v>20.613733726023764</v>
      </c>
      <c r="Y22" s="17">
        <f t="shared" si="5"/>
        <v>23.908828772155786</v>
      </c>
      <c r="Z22" s="17">
        <f t="shared" si="5"/>
        <v>8.6773651879030148E-2</v>
      </c>
      <c r="AA22" s="17">
        <f t="shared" si="5"/>
        <v>0.44385106890335785</v>
      </c>
      <c r="AB22" s="24" t="s">
        <v>68</v>
      </c>
    </row>
    <row r="23" spans="1:28">
      <c r="A23" s="2">
        <f t="shared" si="6"/>
        <v>14</v>
      </c>
      <c r="B23" s="35">
        <v>41592.388888888891</v>
      </c>
      <c r="C23" s="35">
        <v>41620.458333333336</v>
      </c>
      <c r="D23" s="2">
        <v>0.84299999999999997</v>
      </c>
      <c r="E23" s="17">
        <v>0.12</v>
      </c>
      <c r="F23" s="2" t="s">
        <v>64</v>
      </c>
      <c r="G23" s="16" t="s">
        <v>20</v>
      </c>
      <c r="H23" s="5">
        <v>4.1043000000000003E-2</v>
      </c>
      <c r="I23" s="17">
        <v>342.05</v>
      </c>
      <c r="J23" s="17">
        <v>235.06</v>
      </c>
      <c r="K23" s="17">
        <v>230.38</v>
      </c>
      <c r="L23" s="17">
        <v>0.71</v>
      </c>
      <c r="M23" s="17">
        <v>6.66</v>
      </c>
      <c r="N23" s="17">
        <f t="shared" si="0"/>
        <v>70.255134858562954</v>
      </c>
      <c r="O23" s="17">
        <f t="shared" si="0"/>
        <v>48.279994152474231</v>
      </c>
      <c r="P23" s="15">
        <f t="shared" si="1"/>
        <v>118.53512901103718</v>
      </c>
      <c r="Q23" s="17">
        <f t="shared" si="2"/>
        <v>47.318748629486144</v>
      </c>
      <c r="R23" s="17">
        <f t="shared" si="3"/>
        <v>117.57388348804909</v>
      </c>
      <c r="S23" s="17">
        <f t="shared" si="4"/>
        <v>0.14582998318836338</v>
      </c>
      <c r="T23" s="17">
        <f t="shared" si="4"/>
        <v>1.3679263211753525</v>
      </c>
      <c r="U23" s="17">
        <f t="shared" si="5"/>
        <v>2.5029043591372524</v>
      </c>
      <c r="V23" s="17">
        <f t="shared" si="5"/>
        <v>1.7200195838585079</v>
      </c>
      <c r="W23" s="17">
        <f t="shared" si="5"/>
        <v>4.2229239429957603</v>
      </c>
      <c r="X23" s="17">
        <f t="shared" si="5"/>
        <v>1.6857743202983198</v>
      </c>
      <c r="Y23" s="17">
        <f t="shared" si="5"/>
        <v>4.1886786794355721</v>
      </c>
      <c r="Z23" s="17">
        <f t="shared" si="5"/>
        <v>5.1953284460969128E-3</v>
      </c>
      <c r="AA23" s="17">
        <f t="shared" si="5"/>
        <v>4.8733644297190772E-2</v>
      </c>
      <c r="AB23" s="24" t="s">
        <v>69</v>
      </c>
    </row>
    <row r="24" spans="1:28">
      <c r="A24" s="2">
        <f t="shared" si="6"/>
        <v>15</v>
      </c>
      <c r="B24" s="35">
        <v>41620.458333333336</v>
      </c>
      <c r="C24" s="35">
        <v>41631.582638888889</v>
      </c>
      <c r="D24" s="2">
        <v>2.36</v>
      </c>
      <c r="E24" s="17">
        <v>0</v>
      </c>
      <c r="F24" s="2" t="s">
        <v>19</v>
      </c>
      <c r="G24" s="16" t="s">
        <v>20</v>
      </c>
      <c r="H24" s="5">
        <v>4.8788999999999999E-2</v>
      </c>
      <c r="I24" s="17">
        <v>56.2</v>
      </c>
      <c r="J24" s="17">
        <v>36.590000000000003</v>
      </c>
      <c r="K24" s="17">
        <v>28.05</v>
      </c>
      <c r="L24" s="17">
        <v>1.18</v>
      </c>
      <c r="M24" s="17">
        <v>3.81</v>
      </c>
      <c r="N24" s="17">
        <f t="shared" si="0"/>
        <v>27.184816249564452</v>
      </c>
      <c r="O24" s="17">
        <f t="shared" si="0"/>
        <v>17.699153497714651</v>
      </c>
      <c r="P24" s="15">
        <f t="shared" si="1"/>
        <v>44.883969747279103</v>
      </c>
      <c r="Q24" s="17">
        <f t="shared" si="2"/>
        <v>13.568222345200761</v>
      </c>
      <c r="R24" s="17">
        <f t="shared" si="3"/>
        <v>40.753038594765215</v>
      </c>
      <c r="S24" s="17">
        <f t="shared" si="4"/>
        <v>0.57078439812252757</v>
      </c>
      <c r="T24" s="17">
        <f t="shared" si="4"/>
        <v>1.8429564041074833</v>
      </c>
      <c r="U24" s="17">
        <f t="shared" si="5"/>
        <v>2.4437315312679178</v>
      </c>
      <c r="V24" s="17">
        <f t="shared" si="5"/>
        <v>1.5910344613717637</v>
      </c>
      <c r="W24" s="17">
        <f t="shared" si="5"/>
        <v>4.0347659926396817</v>
      </c>
      <c r="X24" s="17">
        <f t="shared" si="5"/>
        <v>1.2196916272609446</v>
      </c>
      <c r="Y24" s="17">
        <f t="shared" si="5"/>
        <v>3.6634231585288628</v>
      </c>
      <c r="Z24" s="17">
        <f t="shared" si="5"/>
        <v>5.1309665603134214E-2</v>
      </c>
      <c r="AA24" s="17">
        <f t="shared" si="5"/>
        <v>0.16566934402367914</v>
      </c>
      <c r="AB24" s="24" t="s">
        <v>70</v>
      </c>
    </row>
    <row r="25" spans="1:28">
      <c r="A25" s="2">
        <f t="shared" si="6"/>
        <v>16</v>
      </c>
      <c r="B25" s="35">
        <v>41631.582638888889</v>
      </c>
      <c r="C25" s="35">
        <v>41642.395833333336</v>
      </c>
      <c r="D25" s="2">
        <v>2.7629999999999999</v>
      </c>
      <c r="E25" s="17">
        <v>0</v>
      </c>
      <c r="F25" s="2" t="s">
        <v>19</v>
      </c>
      <c r="G25" s="16" t="s">
        <v>20</v>
      </c>
      <c r="H25" s="5">
        <v>4.5730311361774995E-2</v>
      </c>
      <c r="I25" s="17">
        <v>45.53</v>
      </c>
      <c r="J25" s="17">
        <v>21.1</v>
      </c>
      <c r="K25" s="17" t="s">
        <v>21</v>
      </c>
      <c r="L25" s="17">
        <v>0.94</v>
      </c>
      <c r="M25" s="17">
        <v>3.2</v>
      </c>
      <c r="N25" s="17">
        <f t="shared" si="0"/>
        <v>27.508972988352109</v>
      </c>
      <c r="O25" s="17">
        <f t="shared" si="0"/>
        <v>12.748502746633639</v>
      </c>
      <c r="P25" s="15">
        <f t="shared" si="1"/>
        <v>40.257475734985746</v>
      </c>
      <c r="Q25" s="17" t="s">
        <v>21</v>
      </c>
      <c r="R25" s="17" t="s">
        <v>21</v>
      </c>
      <c r="S25" s="17">
        <f t="shared" si="4"/>
        <v>0.56794277639031365</v>
      </c>
      <c r="T25" s="17">
        <f t="shared" si="4"/>
        <v>1.9334222174989402</v>
      </c>
      <c r="U25" s="17">
        <f t="shared" si="5"/>
        <v>2.5440190805483747</v>
      </c>
      <c r="V25" s="17">
        <f t="shared" si="5"/>
        <v>1.1789765561074175</v>
      </c>
      <c r="W25" s="17">
        <f t="shared" si="5"/>
        <v>3.7229956366557921</v>
      </c>
      <c r="X25" s="17" t="s">
        <v>21</v>
      </c>
      <c r="Y25" s="17" t="s">
        <v>21</v>
      </c>
      <c r="Z25" s="17">
        <f t="shared" si="5"/>
        <v>5.2523126196254606E-2</v>
      </c>
      <c r="AA25" s="17">
        <f t="shared" si="5"/>
        <v>0.17880213173193057</v>
      </c>
    </row>
    <row r="26" spans="1:28">
      <c r="A26" s="2">
        <f t="shared" si="6"/>
        <v>17</v>
      </c>
      <c r="B26" s="35">
        <v>41642.395833333336</v>
      </c>
      <c r="C26" s="35">
        <v>41656.572916666664</v>
      </c>
      <c r="D26" s="2">
        <v>1.9</v>
      </c>
      <c r="E26" s="17">
        <v>0.08</v>
      </c>
      <c r="F26" s="2" t="s">
        <v>66</v>
      </c>
      <c r="G26" s="16" t="s">
        <v>20</v>
      </c>
      <c r="H26" s="5">
        <v>4.8788999999999999E-2</v>
      </c>
      <c r="I26" s="17">
        <v>59.76</v>
      </c>
      <c r="J26" s="17">
        <v>53.43</v>
      </c>
      <c r="K26" s="17">
        <v>53.64</v>
      </c>
      <c r="L26" s="17">
        <v>1.41</v>
      </c>
      <c r="M26" s="17">
        <v>3.2</v>
      </c>
      <c r="N26" s="17">
        <f t="shared" si="0"/>
        <v>23.272458955912192</v>
      </c>
      <c r="O26" s="17">
        <f t="shared" si="0"/>
        <v>20.807354116706634</v>
      </c>
      <c r="P26" s="15">
        <f t="shared" si="1"/>
        <v>44.079813072618826</v>
      </c>
      <c r="Q26" s="17">
        <f t="shared" si="2"/>
        <v>20.88913484596938</v>
      </c>
      <c r="R26" s="17">
        <f t="shared" si="3"/>
        <v>44.161593801881573</v>
      </c>
      <c r="S26" s="17">
        <f t="shared" si="4"/>
        <v>0.54909918219270737</v>
      </c>
      <c r="T26" s="17">
        <f t="shared" si="4"/>
        <v>1.2461825411465699</v>
      </c>
      <c r="U26" s="17">
        <f t="shared" si="5"/>
        <v>1.6415547830773951</v>
      </c>
      <c r="V26" s="17">
        <f t="shared" si="5"/>
        <v>1.4676752352715066</v>
      </c>
      <c r="W26" s="17">
        <f t="shared" si="5"/>
        <v>3.1092300183489017</v>
      </c>
      <c r="X26" s="17">
        <f t="shared" si="5"/>
        <v>1.4734437510754934</v>
      </c>
      <c r="Y26" s="17">
        <f t="shared" si="5"/>
        <v>3.1149985341528885</v>
      </c>
      <c r="Z26" s="17">
        <f t="shared" si="5"/>
        <v>3.8731463255340152E-2</v>
      </c>
      <c r="AA26" s="17">
        <f t="shared" si="5"/>
        <v>8.7901193203608854E-2</v>
      </c>
    </row>
    <row r="27" spans="1:28">
      <c r="A27" s="2">
        <f t="shared" si="6"/>
        <v>18</v>
      </c>
      <c r="B27" s="35">
        <v>41656.572916666664</v>
      </c>
      <c r="C27" s="35">
        <v>41675.364583333336</v>
      </c>
      <c r="D27" s="2">
        <v>2.0249999999999999</v>
      </c>
      <c r="E27" s="17">
        <v>0.4</v>
      </c>
      <c r="F27" s="2" t="s">
        <v>66</v>
      </c>
      <c r="G27" s="16" t="s">
        <v>20</v>
      </c>
      <c r="H27" s="5">
        <v>4.5730311361774995E-2</v>
      </c>
      <c r="I27" s="17">
        <v>69.430000000000007</v>
      </c>
      <c r="J27" s="17">
        <v>6.58</v>
      </c>
      <c r="K27" s="17">
        <v>107.7</v>
      </c>
      <c r="L27" s="17">
        <v>3.06</v>
      </c>
      <c r="M27" s="17">
        <v>5.13</v>
      </c>
      <c r="N27" s="17">
        <f t="shared" si="0"/>
        <v>30.744542473752109</v>
      </c>
      <c r="O27" s="17">
        <f t="shared" si="0"/>
        <v>2.9137129407646385</v>
      </c>
      <c r="P27" s="15">
        <f t="shared" si="1"/>
        <v>33.658255414516745</v>
      </c>
      <c r="Q27" s="17">
        <f t="shared" si="2"/>
        <v>47.691015762971368</v>
      </c>
      <c r="R27" s="17">
        <f t="shared" si="3"/>
        <v>78.43555823672348</v>
      </c>
      <c r="S27" s="17">
        <f t="shared" si="4"/>
        <v>1.3550093615106069</v>
      </c>
      <c r="T27" s="17">
        <f t="shared" si="4"/>
        <v>2.2716333413560177</v>
      </c>
      <c r="U27" s="17">
        <f t="shared" si="5"/>
        <v>1.6360732136803995</v>
      </c>
      <c r="V27" s="17">
        <f t="shared" si="5"/>
        <v>0.15505346026237976</v>
      </c>
      <c r="W27" s="17">
        <f t="shared" si="5"/>
        <v>1.7911266739427791</v>
      </c>
      <c r="X27" s="17">
        <f t="shared" si="5"/>
        <v>2.5378811049024774</v>
      </c>
      <c r="Y27" s="17">
        <f t="shared" si="5"/>
        <v>4.1739543185828776</v>
      </c>
      <c r="Z27" s="17">
        <f t="shared" si="5"/>
        <v>7.210692832870548E-2</v>
      </c>
      <c r="AA27" s="17">
        <f t="shared" si="5"/>
        <v>0.12088514455106508</v>
      </c>
    </row>
    <row r="28" spans="1:28">
      <c r="A28" s="2"/>
      <c r="B28" s="35">
        <v>41675.364583333336</v>
      </c>
      <c r="C28" s="35">
        <v>41690.429861111108</v>
      </c>
      <c r="D28" s="2" t="s">
        <v>21</v>
      </c>
      <c r="E28" s="17">
        <v>2.84</v>
      </c>
      <c r="F28" s="2"/>
      <c r="G28" s="16" t="s">
        <v>20</v>
      </c>
      <c r="H28" s="5">
        <v>4.8788999999999999E-2</v>
      </c>
      <c r="I28" s="17" t="s">
        <v>21</v>
      </c>
      <c r="J28" s="17" t="s">
        <v>21</v>
      </c>
      <c r="K28" s="17" t="s">
        <v>21</v>
      </c>
      <c r="L28" s="17" t="s">
        <v>21</v>
      </c>
      <c r="M28" s="17" t="s">
        <v>21</v>
      </c>
      <c r="N28" s="17" t="s">
        <v>21</v>
      </c>
      <c r="O28" s="17" t="s">
        <v>21</v>
      </c>
      <c r="P28" s="17" t="s">
        <v>21</v>
      </c>
      <c r="Q28" s="17" t="s">
        <v>21</v>
      </c>
      <c r="R28" s="17" t="s">
        <v>21</v>
      </c>
      <c r="S28" s="17" t="s">
        <v>21</v>
      </c>
      <c r="T28" s="17" t="s">
        <v>21</v>
      </c>
      <c r="U28" s="17" t="s">
        <v>21</v>
      </c>
      <c r="V28" s="17" t="s">
        <v>21</v>
      </c>
      <c r="W28" s="17" t="s">
        <v>21</v>
      </c>
      <c r="X28" s="17" t="s">
        <v>21</v>
      </c>
      <c r="Y28" s="17" t="s">
        <v>21</v>
      </c>
      <c r="Z28" s="17" t="s">
        <v>21</v>
      </c>
      <c r="AA28" s="17" t="s">
        <v>21</v>
      </c>
      <c r="AB28" s="24" t="s">
        <v>71</v>
      </c>
    </row>
    <row r="29" spans="1:28">
      <c r="A29" s="2">
        <v>19</v>
      </c>
      <c r="B29" s="35">
        <v>41675.381944444445</v>
      </c>
      <c r="C29" s="35">
        <v>41690.40625</v>
      </c>
      <c r="D29" s="2">
        <v>2.968</v>
      </c>
      <c r="E29" s="17" t="s">
        <v>21</v>
      </c>
      <c r="F29" s="2" t="s">
        <v>66</v>
      </c>
      <c r="G29" s="16" t="s">
        <v>20</v>
      </c>
      <c r="H29" s="5">
        <v>4.1043000000000003E-2</v>
      </c>
      <c r="I29" s="17">
        <v>73.33</v>
      </c>
      <c r="J29" s="17">
        <v>20.61</v>
      </c>
      <c r="K29" s="17">
        <v>250.13</v>
      </c>
      <c r="L29" s="17">
        <v>0.47</v>
      </c>
      <c r="M29" s="17">
        <v>4.18</v>
      </c>
      <c r="N29" s="17">
        <f t="shared" ref="N29:O39" si="7">$D29*I29/($H29*100)</f>
        <v>53.02815096362351</v>
      </c>
      <c r="O29" s="17">
        <f t="shared" si="7"/>
        <v>14.903998245742269</v>
      </c>
      <c r="P29" s="15">
        <f t="shared" ref="P29:P39" si="8">N29+O29</f>
        <v>67.932149209365775</v>
      </c>
      <c r="Q29" s="17">
        <f t="shared" ref="Q29:Q39" si="9">$D29*K29/($H29*100)</f>
        <v>180.88001364422678</v>
      </c>
      <c r="R29" s="17">
        <f t="shared" ref="R29:R39" si="10">Q29+N29</f>
        <v>233.9081646078503</v>
      </c>
      <c r="S29" s="17">
        <f t="shared" ref="S29:T39" si="11">$D29*L29/($H29*100)</f>
        <v>0.33987768925273493</v>
      </c>
      <c r="T29" s="17">
        <f t="shared" si="11"/>
        <v>3.0227420022902804</v>
      </c>
      <c r="U29" s="17">
        <f t="shared" ref="U29:AA39" si="12">N29/($C29-$B29)</f>
        <v>3.5294909816326308</v>
      </c>
      <c r="V29" s="17">
        <f t="shared" si="12"/>
        <v>0.99199248781465321</v>
      </c>
      <c r="W29" s="17">
        <f t="shared" si="12"/>
        <v>4.5214834694472836</v>
      </c>
      <c r="X29" s="17">
        <f t="shared" si="12"/>
        <v>12.039159678654984</v>
      </c>
      <c r="Y29" s="17">
        <f t="shared" si="12"/>
        <v>15.568650660287615</v>
      </c>
      <c r="Z29" s="17">
        <f t="shared" si="12"/>
        <v>2.2621856830319604E-2</v>
      </c>
      <c r="AA29" s="17">
        <f t="shared" si="12"/>
        <v>0.20119013095901261</v>
      </c>
      <c r="AB29" s="24" t="s">
        <v>72</v>
      </c>
    </row>
    <row r="30" spans="1:28">
      <c r="A30" s="2">
        <f>A29+1</f>
        <v>20</v>
      </c>
      <c r="B30" s="35">
        <v>41690.429861111108</v>
      </c>
      <c r="C30" s="35">
        <v>41702.433333333334</v>
      </c>
      <c r="D30" s="2">
        <v>2.8450000000000002</v>
      </c>
      <c r="E30" s="17">
        <v>0.34</v>
      </c>
      <c r="F30" s="2" t="s">
        <v>66</v>
      </c>
      <c r="G30" s="16" t="s">
        <v>20</v>
      </c>
      <c r="H30" s="5">
        <v>4.5730311361774995E-2</v>
      </c>
      <c r="I30" s="17">
        <v>24.02</v>
      </c>
      <c r="J30" s="17">
        <v>29.22</v>
      </c>
      <c r="K30" s="17">
        <v>29.83</v>
      </c>
      <c r="L30" s="17">
        <v>0.94</v>
      </c>
      <c r="M30" s="17">
        <v>8.61</v>
      </c>
      <c r="N30" s="17">
        <f t="shared" si="7"/>
        <v>14.943458280741419</v>
      </c>
      <c r="O30" s="17">
        <f t="shared" si="7"/>
        <v>18.178511697055132</v>
      </c>
      <c r="P30" s="15">
        <f t="shared" si="8"/>
        <v>33.121969977796553</v>
      </c>
      <c r="Q30" s="17">
        <f t="shared" si="9"/>
        <v>18.558008347815008</v>
      </c>
      <c r="R30" s="17">
        <f t="shared" si="10"/>
        <v>33.501466628556429</v>
      </c>
      <c r="S30" s="17">
        <f t="shared" si="11"/>
        <v>0.58479811756440192</v>
      </c>
      <c r="T30" s="17">
        <f t="shared" si="11"/>
        <v>5.3565019066271287</v>
      </c>
      <c r="U30" s="17">
        <f t="shared" si="12"/>
        <v>1.2449279678484464</v>
      </c>
      <c r="V30" s="17">
        <f t="shared" si="12"/>
        <v>1.5144377693809994</v>
      </c>
      <c r="W30" s="17">
        <f t="shared" si="12"/>
        <v>2.7593657372294462</v>
      </c>
      <c r="X30" s="17">
        <f t="shared" si="12"/>
        <v>1.5460533422530871</v>
      </c>
      <c r="Y30" s="17">
        <f t="shared" si="12"/>
        <v>2.7909813101015337</v>
      </c>
      <c r="Z30" s="17">
        <f t="shared" si="12"/>
        <v>4.8719079507807649E-2</v>
      </c>
      <c r="AA30" s="17">
        <f t="shared" si="12"/>
        <v>0.44624603676832325</v>
      </c>
    </row>
    <row r="31" spans="1:28">
      <c r="A31" s="2">
        <f t="shared" ref="A31:A39" si="13">A30+1</f>
        <v>21</v>
      </c>
      <c r="B31" s="35">
        <v>41702.433333333334</v>
      </c>
      <c r="C31" s="35">
        <v>41712.390277777777</v>
      </c>
      <c r="D31" s="2">
        <v>1.419</v>
      </c>
      <c r="E31" s="17">
        <v>0.08</v>
      </c>
      <c r="F31" s="2" t="s">
        <v>66</v>
      </c>
      <c r="G31" s="16" t="s">
        <v>20</v>
      </c>
      <c r="H31" s="5">
        <v>4.8788999999999999E-2</v>
      </c>
      <c r="I31" s="17">
        <v>63.65</v>
      </c>
      <c r="J31" s="17">
        <v>101.8</v>
      </c>
      <c r="K31" s="17">
        <v>138.53</v>
      </c>
      <c r="L31" s="17">
        <v>1.41</v>
      </c>
      <c r="M31" s="17">
        <v>7.02</v>
      </c>
      <c r="N31" s="17">
        <f t="shared" si="7"/>
        <v>18.512236364754351</v>
      </c>
      <c r="O31" s="17">
        <f t="shared" si="7"/>
        <v>29.607944413699808</v>
      </c>
      <c r="P31" s="15">
        <f t="shared" si="8"/>
        <v>48.120180778454156</v>
      </c>
      <c r="Q31" s="17">
        <f t="shared" si="9"/>
        <v>40.290653630941407</v>
      </c>
      <c r="R31" s="17">
        <f t="shared" si="10"/>
        <v>58.802889995695757</v>
      </c>
      <c r="S31" s="17">
        <f t="shared" si="11"/>
        <v>0.41009038922707985</v>
      </c>
      <c r="T31" s="17">
        <f t="shared" si="11"/>
        <v>2.0417266187050362</v>
      </c>
      <c r="U31" s="17">
        <f t="shared" si="12"/>
        <v>1.8592286487133416</v>
      </c>
      <c r="V31" s="17">
        <f t="shared" si="12"/>
        <v>2.9735974303066484</v>
      </c>
      <c r="W31" s="17">
        <f t="shared" si="12"/>
        <v>4.8328260790199895</v>
      </c>
      <c r="X31" s="17">
        <f t="shared" si="12"/>
        <v>4.0464877408681739</v>
      </c>
      <c r="Y31" s="17">
        <f t="shared" si="12"/>
        <v>5.9057163895815155</v>
      </c>
      <c r="Z31" s="17">
        <f t="shared" si="12"/>
        <v>4.1186369123107802E-2</v>
      </c>
      <c r="AA31" s="17">
        <f t="shared" si="12"/>
        <v>0.20505553988951547</v>
      </c>
    </row>
    <row r="32" spans="1:28">
      <c r="A32" s="2">
        <f t="shared" si="13"/>
        <v>22</v>
      </c>
      <c r="B32" s="35">
        <v>41712.390277777777</v>
      </c>
      <c r="C32" s="35">
        <v>41719.380555555559</v>
      </c>
      <c r="D32" s="2">
        <v>1.595</v>
      </c>
      <c r="E32" s="17">
        <v>0</v>
      </c>
      <c r="F32" s="2" t="s">
        <v>19</v>
      </c>
      <c r="G32" s="16" t="s">
        <v>20</v>
      </c>
      <c r="H32" s="5">
        <v>4.5730311361774995E-2</v>
      </c>
      <c r="I32" s="17">
        <v>35.729999999999997</v>
      </c>
      <c r="J32" s="17">
        <v>32.72</v>
      </c>
      <c r="K32" s="17">
        <v>44.89</v>
      </c>
      <c r="L32" s="17">
        <v>1.41</v>
      </c>
      <c r="M32" s="17">
        <v>5.74</v>
      </c>
      <c r="N32" s="17">
        <f t="shared" si="7"/>
        <v>12.462051602744213</v>
      </c>
      <c r="O32" s="17">
        <f t="shared" si="7"/>
        <v>11.412211823167944</v>
      </c>
      <c r="P32" s="15">
        <f t="shared" si="8"/>
        <v>23.874263425912154</v>
      </c>
      <c r="Q32" s="17">
        <f t="shared" si="9"/>
        <v>15.656912858863354</v>
      </c>
      <c r="R32" s="17">
        <f t="shared" si="10"/>
        <v>28.118964461607568</v>
      </c>
      <c r="S32" s="17">
        <f t="shared" si="11"/>
        <v>0.49178541169519557</v>
      </c>
      <c r="T32" s="17">
        <f t="shared" si="11"/>
        <v>2.0020200447733498</v>
      </c>
      <c r="U32" s="17">
        <f t="shared" si="12"/>
        <v>1.7827691543750872</v>
      </c>
      <c r="V32" s="17">
        <f t="shared" si="12"/>
        <v>1.6325834517535085</v>
      </c>
      <c r="W32" s="17">
        <f t="shared" si="12"/>
        <v>3.4153526061285953</v>
      </c>
      <c r="X32" s="17">
        <f t="shared" si="12"/>
        <v>2.2398126879344433</v>
      </c>
      <c r="Y32" s="17">
        <f t="shared" si="12"/>
        <v>4.0225818423095312</v>
      </c>
      <c r="Z32" s="17">
        <f t="shared" si="12"/>
        <v>7.0352770995490421E-2</v>
      </c>
      <c r="AA32" s="17">
        <f t="shared" si="12"/>
        <v>0.28640064220859229</v>
      </c>
    </row>
    <row r="33" spans="1:28">
      <c r="A33" s="2">
        <f t="shared" si="13"/>
        <v>23</v>
      </c>
      <c r="B33" s="35">
        <v>41719.380555555559</v>
      </c>
      <c r="C33" s="35">
        <v>41740.423611111109</v>
      </c>
      <c r="D33" s="2">
        <v>0.82499999999999996</v>
      </c>
      <c r="E33" s="17">
        <v>0.04</v>
      </c>
      <c r="F33" s="2" t="s">
        <v>66</v>
      </c>
      <c r="G33" s="16" t="s">
        <v>20</v>
      </c>
      <c r="H33" s="5">
        <v>4.8788999999999999E-2</v>
      </c>
      <c r="I33" s="17">
        <v>296.51</v>
      </c>
      <c r="J33" s="17">
        <v>405.78</v>
      </c>
      <c r="K33" s="17">
        <v>448.56</v>
      </c>
      <c r="L33" s="17">
        <v>7.21</v>
      </c>
      <c r="M33" s="17">
        <v>10.31</v>
      </c>
      <c r="N33" s="17">
        <f t="shared" si="7"/>
        <v>50.138504580950624</v>
      </c>
      <c r="O33" s="17">
        <f t="shared" si="7"/>
        <v>68.615569083194984</v>
      </c>
      <c r="P33" s="15">
        <f t="shared" si="8"/>
        <v>118.75407366414561</v>
      </c>
      <c r="Q33" s="17">
        <f t="shared" si="9"/>
        <v>75.849474266740444</v>
      </c>
      <c r="R33" s="17">
        <f t="shared" si="10"/>
        <v>125.98797884769107</v>
      </c>
      <c r="S33" s="17">
        <f t="shared" si="11"/>
        <v>1.2191785033511653</v>
      </c>
      <c r="T33" s="17">
        <f t="shared" si="11"/>
        <v>1.7433745311443156</v>
      </c>
      <c r="U33" s="17">
        <f t="shared" si="12"/>
        <v>2.3826627482207989</v>
      </c>
      <c r="V33" s="17">
        <f t="shared" si="12"/>
        <v>3.2607227074062792</v>
      </c>
      <c r="W33" s="17">
        <f t="shared" si="12"/>
        <v>5.6433854556270777</v>
      </c>
      <c r="X33" s="17">
        <f t="shared" si="12"/>
        <v>3.6044895698017654</v>
      </c>
      <c r="Y33" s="17">
        <f t="shared" si="12"/>
        <v>5.9871523180225648</v>
      </c>
      <c r="Z33" s="17">
        <f t="shared" si="12"/>
        <v>5.7937332348561472E-2</v>
      </c>
      <c r="AA33" s="17">
        <f t="shared" si="12"/>
        <v>8.2847974551132991E-2</v>
      </c>
    </row>
    <row r="34" spans="1:28">
      <c r="A34" s="2">
        <f t="shared" si="13"/>
        <v>24</v>
      </c>
      <c r="B34" s="35">
        <v>41740.423611111109</v>
      </c>
      <c r="C34" s="35">
        <v>41747.423611111109</v>
      </c>
      <c r="D34" s="2">
        <v>2.36</v>
      </c>
      <c r="E34" s="17">
        <v>0</v>
      </c>
      <c r="F34" s="2" t="s">
        <v>19</v>
      </c>
      <c r="G34" s="16" t="s">
        <v>20</v>
      </c>
      <c r="H34" s="5">
        <v>4.5730311361774995E-2</v>
      </c>
      <c r="I34" s="17">
        <v>27.43</v>
      </c>
      <c r="J34" s="17">
        <v>45.01</v>
      </c>
      <c r="K34" s="17">
        <v>150.19</v>
      </c>
      <c r="L34" s="17">
        <v>1.63</v>
      </c>
      <c r="M34" s="17">
        <v>4.68</v>
      </c>
      <c r="N34" s="17">
        <f t="shared" si="7"/>
        <v>14.155775036797682</v>
      </c>
      <c r="O34" s="17">
        <f t="shared" si="7"/>
        <v>23.228269573688067</v>
      </c>
      <c r="P34" s="15">
        <f t="shared" si="8"/>
        <v>37.384044610485745</v>
      </c>
      <c r="Q34" s="17">
        <f t="shared" si="9"/>
        <v>77.508416069144886</v>
      </c>
      <c r="R34" s="17">
        <f t="shared" si="10"/>
        <v>91.664191105942564</v>
      </c>
      <c r="S34" s="17">
        <f t="shared" si="11"/>
        <v>0.84119261064455786</v>
      </c>
      <c r="T34" s="17">
        <f t="shared" si="11"/>
        <v>2.4152033238138224</v>
      </c>
      <c r="U34" s="17">
        <f t="shared" si="12"/>
        <v>2.0222535766853831</v>
      </c>
      <c r="V34" s="17">
        <f t="shared" si="12"/>
        <v>3.318324224812581</v>
      </c>
      <c r="W34" s="17">
        <f t="shared" si="12"/>
        <v>5.3405778014979637</v>
      </c>
      <c r="X34" s="17">
        <f t="shared" si="12"/>
        <v>11.072630867020697</v>
      </c>
      <c r="Y34" s="17">
        <f t="shared" si="12"/>
        <v>13.09488444370608</v>
      </c>
      <c r="Z34" s="17">
        <f t="shared" si="12"/>
        <v>0.12017037294922255</v>
      </c>
      <c r="AA34" s="17">
        <f t="shared" si="12"/>
        <v>0.34502904625911751</v>
      </c>
    </row>
    <row r="35" spans="1:28">
      <c r="A35" s="2">
        <f t="shared" si="13"/>
        <v>25</v>
      </c>
      <c r="B35" s="35">
        <v>41747.423611111109</v>
      </c>
      <c r="C35" s="35">
        <v>41761.445833333331</v>
      </c>
      <c r="D35" s="2">
        <v>0.755</v>
      </c>
      <c r="E35" s="17">
        <v>0.08</v>
      </c>
      <c r="F35" s="2" t="s">
        <v>66</v>
      </c>
      <c r="G35" s="16" t="s">
        <v>20</v>
      </c>
      <c r="H35" s="5">
        <v>4.8788999999999999E-2</v>
      </c>
      <c r="I35" s="17">
        <v>343.88</v>
      </c>
      <c r="J35" s="17">
        <v>339.14</v>
      </c>
      <c r="K35" s="17">
        <v>506.17</v>
      </c>
      <c r="L35" s="17">
        <v>5.89</v>
      </c>
      <c r="M35" s="17">
        <v>10.54</v>
      </c>
      <c r="N35" s="17">
        <f t="shared" si="7"/>
        <v>53.214741027690664</v>
      </c>
      <c r="O35" s="17">
        <f t="shared" si="7"/>
        <v>52.481235524400994</v>
      </c>
      <c r="P35" s="15">
        <f t="shared" si="8"/>
        <v>105.69597655209165</v>
      </c>
      <c r="Q35" s="17">
        <f t="shared" si="9"/>
        <v>78.328793375555975</v>
      </c>
      <c r="R35" s="17">
        <f t="shared" si="10"/>
        <v>131.54353440324664</v>
      </c>
      <c r="S35" s="17">
        <f t="shared" si="11"/>
        <v>0.91146569923548348</v>
      </c>
      <c r="T35" s="17">
        <f t="shared" si="11"/>
        <v>1.6310438828424438</v>
      </c>
      <c r="U35" s="17">
        <f t="shared" si="12"/>
        <v>3.795029074875016</v>
      </c>
      <c r="V35" s="17">
        <f t="shared" si="12"/>
        <v>3.7427188567323282</v>
      </c>
      <c r="W35" s="17">
        <f t="shared" si="12"/>
        <v>7.5377479316073437</v>
      </c>
      <c r="X35" s="17">
        <f t="shared" si="12"/>
        <v>5.5860470711570525</v>
      </c>
      <c r="Y35" s="17">
        <f t="shared" si="12"/>
        <v>9.3810761460320684</v>
      </c>
      <c r="Z35" s="17">
        <f t="shared" si="12"/>
        <v>6.5001515793340264E-2</v>
      </c>
      <c r="AA35" s="17">
        <f t="shared" si="12"/>
        <v>0.11631850194597729</v>
      </c>
    </row>
    <row r="36" spans="1:28">
      <c r="A36" s="2">
        <f t="shared" si="13"/>
        <v>26</v>
      </c>
      <c r="B36" s="35">
        <v>41761.445833333331</v>
      </c>
      <c r="C36" s="35">
        <v>41780.42083333333</v>
      </c>
      <c r="D36" s="2">
        <v>0.625</v>
      </c>
      <c r="E36" s="17">
        <v>0.47</v>
      </c>
      <c r="F36" s="2" t="s">
        <v>66</v>
      </c>
      <c r="G36" s="16" t="s">
        <v>20</v>
      </c>
      <c r="H36" s="5">
        <v>4.5730311361774995E-2</v>
      </c>
      <c r="I36" s="17">
        <v>379.7</v>
      </c>
      <c r="J36" s="17">
        <v>373.85</v>
      </c>
      <c r="K36" s="17">
        <v>657.86</v>
      </c>
      <c r="L36" s="17">
        <v>12.7</v>
      </c>
      <c r="M36" s="17">
        <v>32.85</v>
      </c>
      <c r="N36" s="17">
        <f t="shared" si="7"/>
        <v>51.893917389411108</v>
      </c>
      <c r="O36" s="17">
        <f t="shared" si="7"/>
        <v>51.094392984017233</v>
      </c>
      <c r="P36" s="15">
        <f t="shared" si="8"/>
        <v>102.98831037342833</v>
      </c>
      <c r="Q36" s="17">
        <f t="shared" si="9"/>
        <v>89.91027783460099</v>
      </c>
      <c r="R36" s="17">
        <f t="shared" si="10"/>
        <v>141.80419522401209</v>
      </c>
      <c r="S36" s="17">
        <f t="shared" si="11"/>
        <v>1.7357196493166211</v>
      </c>
      <c r="T36" s="17">
        <f t="shared" si="11"/>
        <v>4.4896370456733079</v>
      </c>
      <c r="U36" s="17">
        <f t="shared" si="12"/>
        <v>2.7348573064250377</v>
      </c>
      <c r="V36" s="17">
        <f t="shared" si="12"/>
        <v>2.69272163288649</v>
      </c>
      <c r="W36" s="17">
        <f t="shared" si="12"/>
        <v>5.4275789393115277</v>
      </c>
      <c r="X36" s="17">
        <f t="shared" si="12"/>
        <v>4.7383545630886896</v>
      </c>
      <c r="Y36" s="17">
        <f t="shared" si="12"/>
        <v>7.4732118695137268</v>
      </c>
      <c r="Z36" s="17">
        <f t="shared" si="12"/>
        <v>9.1474026314453449E-2</v>
      </c>
      <c r="AA36" s="17">
        <f t="shared" si="12"/>
        <v>0.23660801294722805</v>
      </c>
    </row>
    <row r="37" spans="1:28">
      <c r="A37" s="2">
        <f t="shared" si="13"/>
        <v>27</v>
      </c>
      <c r="B37" s="35">
        <v>41780.42083333333</v>
      </c>
      <c r="C37" s="35">
        <v>41794.675000000003</v>
      </c>
      <c r="D37" s="2">
        <v>0.5</v>
      </c>
      <c r="E37" s="17">
        <v>0.06</v>
      </c>
      <c r="F37" s="2" t="s">
        <v>66</v>
      </c>
      <c r="G37" s="16" t="s">
        <v>20</v>
      </c>
      <c r="H37" s="5">
        <v>4.8788999999999999E-2</v>
      </c>
      <c r="I37" s="17">
        <v>316.05</v>
      </c>
      <c r="J37" s="17">
        <v>399.31</v>
      </c>
      <c r="K37" s="17">
        <v>611.54999999999995</v>
      </c>
      <c r="L37" s="17">
        <v>3.16</v>
      </c>
      <c r="M37" s="17">
        <v>27.03</v>
      </c>
      <c r="N37" s="17">
        <f t="shared" si="7"/>
        <v>32.389473036955053</v>
      </c>
      <c r="O37" s="17">
        <f t="shared" si="7"/>
        <v>40.922134087601712</v>
      </c>
      <c r="P37" s="15">
        <f t="shared" si="8"/>
        <v>73.311607124556758</v>
      </c>
      <c r="Q37" s="17">
        <f t="shared" si="9"/>
        <v>62.672938572219145</v>
      </c>
      <c r="R37" s="17">
        <f t="shared" si="10"/>
        <v>95.062411609174205</v>
      </c>
      <c r="S37" s="17">
        <f t="shared" si="11"/>
        <v>0.32384348931111523</v>
      </c>
      <c r="T37" s="17">
        <f t="shared" si="11"/>
        <v>2.7700916190124825</v>
      </c>
      <c r="U37" s="17">
        <f t="shared" si="12"/>
        <v>2.2722810666079432</v>
      </c>
      <c r="V37" s="17">
        <f t="shared" si="12"/>
        <v>2.8708892665945824</v>
      </c>
      <c r="W37" s="17">
        <f t="shared" si="12"/>
        <v>5.1431703332025247</v>
      </c>
      <c r="X37" s="17">
        <f t="shared" si="12"/>
        <v>4.3968153339157965</v>
      </c>
      <c r="Y37" s="17">
        <f t="shared" si="12"/>
        <v>6.6690964005237401</v>
      </c>
      <c r="Z37" s="17">
        <f t="shared" si="12"/>
        <v>2.2719215853444392E-2</v>
      </c>
      <c r="AA37" s="17">
        <f t="shared" si="12"/>
        <v>0.1943355710501905</v>
      </c>
      <c r="AB37" s="24" t="s">
        <v>73</v>
      </c>
    </row>
    <row r="38" spans="1:28">
      <c r="A38" s="2">
        <f t="shared" si="13"/>
        <v>28</v>
      </c>
      <c r="B38" s="35">
        <v>41794.675000000003</v>
      </c>
      <c r="C38" s="39">
        <v>41808.536805555559</v>
      </c>
      <c r="D38" s="2">
        <v>0.5</v>
      </c>
      <c r="E38" s="17">
        <v>0</v>
      </c>
      <c r="F38" s="2" t="s">
        <v>19</v>
      </c>
      <c r="G38" s="16" t="s">
        <v>20</v>
      </c>
      <c r="H38" s="5">
        <v>4.5730311361774995E-2</v>
      </c>
      <c r="I38" s="17">
        <v>246.03</v>
      </c>
      <c r="J38" s="17">
        <v>209.24</v>
      </c>
      <c r="K38" s="17">
        <v>497.94</v>
      </c>
      <c r="L38" s="17">
        <v>3.85</v>
      </c>
      <c r="M38" s="17">
        <v>27.03</v>
      </c>
      <c r="N38" s="17">
        <f t="shared" si="7"/>
        <v>26.900101122605879</v>
      </c>
      <c r="O38" s="17">
        <f t="shared" si="7"/>
        <v>22.877605003024243</v>
      </c>
      <c r="P38" s="15">
        <f t="shared" si="8"/>
        <v>49.777706125630118</v>
      </c>
      <c r="Q38" s="17">
        <f t="shared" si="9"/>
        <v>54.443101869651549</v>
      </c>
      <c r="R38" s="17">
        <f t="shared" si="10"/>
        <v>81.343202992257432</v>
      </c>
      <c r="S38" s="17">
        <f t="shared" si="11"/>
        <v>0.42094618266891287</v>
      </c>
      <c r="T38" s="17">
        <f t="shared" si="11"/>
        <v>2.9553702123482379</v>
      </c>
      <c r="U38" s="17">
        <f t="shared" si="12"/>
        <v>1.9405914341240749</v>
      </c>
      <c r="V38" s="17">
        <f t="shared" si="12"/>
        <v>1.650405851628344</v>
      </c>
      <c r="W38" s="17">
        <f t="shared" si="12"/>
        <v>3.5909972857524184</v>
      </c>
      <c r="X38" s="17">
        <f t="shared" si="12"/>
        <v>3.9275620806720393</v>
      </c>
      <c r="Y38" s="17">
        <f t="shared" si="12"/>
        <v>5.8681535147961146</v>
      </c>
      <c r="Z38" s="17">
        <f t="shared" si="12"/>
        <v>3.0367341468022956E-2</v>
      </c>
      <c r="AA38" s="17">
        <f t="shared" si="12"/>
        <v>0.21320239996900275</v>
      </c>
      <c r="AB38" s="24" t="s">
        <v>74</v>
      </c>
    </row>
    <row r="39" spans="1:28">
      <c r="A39" s="2">
        <f t="shared" si="13"/>
        <v>29</v>
      </c>
      <c r="B39" s="39">
        <v>41808.536805555559</v>
      </c>
      <c r="C39" s="35">
        <v>41820.45208333333</v>
      </c>
      <c r="D39" s="2">
        <v>0.5</v>
      </c>
      <c r="E39" s="17">
        <v>0</v>
      </c>
      <c r="F39" s="2" t="s">
        <v>19</v>
      </c>
      <c r="G39" s="16" t="s">
        <v>20</v>
      </c>
      <c r="H39" s="5">
        <v>4.8788999999999999E-2</v>
      </c>
      <c r="I39" s="17">
        <v>174.59</v>
      </c>
      <c r="J39" s="17">
        <v>246.52</v>
      </c>
      <c r="K39" s="17">
        <v>365.2</v>
      </c>
      <c r="L39" s="17">
        <v>2.25</v>
      </c>
      <c r="M39" s="17">
        <v>15.84</v>
      </c>
      <c r="N39" s="17">
        <f t="shared" si="7"/>
        <v>17.892352784439115</v>
      </c>
      <c r="O39" s="17">
        <f t="shared" si="7"/>
        <v>25.263891450941813</v>
      </c>
      <c r="P39" s="15">
        <f t="shared" si="8"/>
        <v>43.156244235380925</v>
      </c>
      <c r="Q39" s="17">
        <f t="shared" si="9"/>
        <v>37.426469081145342</v>
      </c>
      <c r="R39" s="17">
        <f t="shared" si="10"/>
        <v>55.318821865584454</v>
      </c>
      <c r="S39" s="17">
        <f t="shared" si="11"/>
        <v>0.23058476295886368</v>
      </c>
      <c r="T39" s="17">
        <f t="shared" si="11"/>
        <v>1.6233167312304004</v>
      </c>
      <c r="U39" s="17">
        <f t="shared" si="12"/>
        <v>1.5016311930066069</v>
      </c>
      <c r="V39" s="17">
        <f t="shared" si="12"/>
        <v>2.1202939555529454</v>
      </c>
      <c r="W39" s="17">
        <f t="shared" si="12"/>
        <v>3.6219251485595518</v>
      </c>
      <c r="X39" s="17">
        <f t="shared" si="12"/>
        <v>3.1410488097028058</v>
      </c>
      <c r="Y39" s="17">
        <f t="shared" si="12"/>
        <v>4.6426800027094126</v>
      </c>
      <c r="Z39" s="17">
        <f t="shared" si="12"/>
        <v>1.9352025799099979E-2</v>
      </c>
      <c r="AA39" s="17">
        <f t="shared" si="12"/>
        <v>0.13623826162566385</v>
      </c>
      <c r="AB39" s="24" t="s">
        <v>75</v>
      </c>
    </row>
    <row r="40" spans="1:28" s="32" customFormat="1">
      <c r="A40" s="38">
        <f>A39+1</f>
        <v>30</v>
      </c>
      <c r="B40" s="41">
        <v>41820.45208333333</v>
      </c>
      <c r="C40" s="41">
        <v>41831.40625</v>
      </c>
      <c r="D40" s="29">
        <v>0.88</v>
      </c>
      <c r="E40" s="14">
        <v>0</v>
      </c>
      <c r="F40" s="38" t="s">
        <v>19</v>
      </c>
      <c r="G40" s="13" t="s">
        <v>20</v>
      </c>
      <c r="H40" s="25">
        <v>4.5730311361774995E-2</v>
      </c>
      <c r="I40" s="14">
        <v>211.12</v>
      </c>
      <c r="J40" s="14">
        <v>150.61000000000001</v>
      </c>
      <c r="K40" s="14">
        <v>578</v>
      </c>
      <c r="L40" s="14">
        <v>7.75</v>
      </c>
      <c r="M40" s="14">
        <v>49.59</v>
      </c>
      <c r="N40" s="14">
        <f t="shared" ref="N40:O40" si="14">$D40*I40/($H40*100)</f>
        <v>40.626357981742125</v>
      </c>
      <c r="O40" s="14">
        <f t="shared" si="14"/>
        <v>28.982264947092556</v>
      </c>
      <c r="P40" s="22">
        <f t="shared" ref="P40" si="15">N40+O40</f>
        <v>69.608622928834677</v>
      </c>
      <c r="Q40" s="14">
        <f t="shared" ref="Q40" si="16">$D40*K40/($H40*100)</f>
        <v>111.22600849491732</v>
      </c>
      <c r="R40" s="14">
        <f t="shared" ref="R40" si="17">Q40+N40</f>
        <v>151.85236647665945</v>
      </c>
      <c r="S40" s="14">
        <f t="shared" ref="S40:T40" si="18">$D40*L40/($H40*100)</f>
        <v>1.4913521900270057</v>
      </c>
      <c r="T40" s="14">
        <f t="shared" si="18"/>
        <v>9.5427296907663504</v>
      </c>
      <c r="U40" s="14">
        <f t="shared" ref="U40:AA40" si="19">N40/($C40-$B40)</f>
        <v>3.7087584311963058</v>
      </c>
      <c r="V40" s="14">
        <f t="shared" si="19"/>
        <v>2.6457754230886485</v>
      </c>
      <c r="W40" s="14">
        <f t="shared" si="19"/>
        <v>6.3545338542849539</v>
      </c>
      <c r="X40" s="14">
        <f t="shared" si="19"/>
        <v>10.153762662142215</v>
      </c>
      <c r="Y40" s="14">
        <f t="shared" si="19"/>
        <v>13.862521093338522</v>
      </c>
      <c r="Z40" s="14">
        <f t="shared" si="19"/>
        <v>0.13614474157716638</v>
      </c>
      <c r="AA40" s="14">
        <f t="shared" si="19"/>
        <v>0.87115067545957181</v>
      </c>
      <c r="AB40" s="32" t="s">
        <v>76</v>
      </c>
    </row>
    <row r="41" spans="1:28">
      <c r="A41" s="2">
        <f>A40+1</f>
        <v>31</v>
      </c>
      <c r="B41" s="40">
        <v>41831.40625</v>
      </c>
      <c r="C41" s="40">
        <v>41838.486111111109</v>
      </c>
      <c r="D41" s="37">
        <v>1.8149999999999999</v>
      </c>
      <c r="E41" s="17">
        <v>0</v>
      </c>
      <c r="F41" s="2" t="s">
        <v>19</v>
      </c>
      <c r="G41" s="16" t="s">
        <v>20</v>
      </c>
      <c r="H41" s="23">
        <v>4.8788999999999999E-2</v>
      </c>
      <c r="I41" s="19">
        <v>124.35</v>
      </c>
      <c r="J41" s="19">
        <v>102.99</v>
      </c>
      <c r="K41" s="19">
        <v>177.55</v>
      </c>
      <c r="L41" s="19">
        <v>1.33</v>
      </c>
      <c r="M41" s="19">
        <v>7.42</v>
      </c>
      <c r="N41" s="17">
        <f t="shared" ref="N41:N65" si="20">$D41*I41/($H41*100)</f>
        <v>46.259453975281311</v>
      </c>
      <c r="O41" s="17">
        <f t="shared" ref="O41:O65" si="21">$D41*J41/($H41*100)</f>
        <v>38.313318575908497</v>
      </c>
      <c r="P41" s="15">
        <f t="shared" ref="P41:P65" si="22">N41+O41</f>
        <v>84.572772551189814</v>
      </c>
      <c r="Q41" s="17">
        <f t="shared" ref="Q41:Q65" si="23">$D41*K41/($H41*100)</f>
        <v>66.050390456865287</v>
      </c>
      <c r="R41" s="17">
        <f t="shared" ref="R41:R65" si="24">Q41+N41</f>
        <v>112.3098444321466</v>
      </c>
      <c r="S41" s="17">
        <f t="shared" ref="S41:S65" si="25">$D41*L41/($H41*100)</f>
        <v>0.49477341203959918</v>
      </c>
      <c r="T41" s="17">
        <f t="shared" ref="T41:T65" si="26">$D41*M41/($H41*100)</f>
        <v>2.7603148250630265</v>
      </c>
      <c r="U41" s="17">
        <f t="shared" ref="U41:U65" si="27">N41/($C41-$B41)</f>
        <v>6.533949359923521</v>
      </c>
      <c r="V41" s="17">
        <f t="shared" ref="V41:V65" si="28">O41/($C41-$B41)</f>
        <v>5.4115918341658498</v>
      </c>
      <c r="W41" s="17">
        <f t="shared" ref="W41:W65" si="29">P41/($C41-$B41)</f>
        <v>11.945541194089373</v>
      </c>
      <c r="X41" s="17">
        <f t="shared" ref="X41:X65" si="30">Q41/($C41-$B41)</f>
        <v>9.3293342087207201</v>
      </c>
      <c r="Y41" s="17">
        <f t="shared" ref="Y41:Y65" si="31">R41/($C41-$B41)</f>
        <v>15.863283568644242</v>
      </c>
      <c r="Z41" s="17">
        <f t="shared" ref="Z41:Z65" si="32">S41/($C41-$B41)</f>
        <v>6.9884621219929915E-2</v>
      </c>
      <c r="AA41" s="17">
        <f t="shared" ref="AA41:AA65" si="33">T41/($C41-$B41)</f>
        <v>0.38988262364803</v>
      </c>
      <c r="AB41" s="24" t="s">
        <v>77</v>
      </c>
    </row>
    <row r="42" spans="1:28">
      <c r="A42" s="2">
        <f t="shared" ref="A42:A57" si="34">A41+1</f>
        <v>32</v>
      </c>
      <c r="B42" s="40">
        <v>41838.486111111109</v>
      </c>
      <c r="C42" s="40">
        <v>41848.45208333333</v>
      </c>
      <c r="D42" s="37">
        <v>1.2050000000000001</v>
      </c>
      <c r="E42" s="17">
        <f>383/824</f>
        <v>0.46480582524271846</v>
      </c>
      <c r="F42" s="2" t="s">
        <v>66</v>
      </c>
      <c r="G42" s="16" t="s">
        <v>20</v>
      </c>
      <c r="H42" s="23">
        <v>4.5730311361774995E-2</v>
      </c>
      <c r="I42" s="19">
        <v>335.56</v>
      </c>
      <c r="J42" s="19">
        <v>483.03</v>
      </c>
      <c r="K42" s="19">
        <v>614.48</v>
      </c>
      <c r="L42" s="19">
        <v>2.04</v>
      </c>
      <c r="M42" s="19">
        <v>5.57</v>
      </c>
      <c r="N42" s="17">
        <f t="shared" si="20"/>
        <v>88.420521959967999</v>
      </c>
      <c r="O42" s="17">
        <f t="shared" si="21"/>
        <v>127.27906997950691</v>
      </c>
      <c r="P42" s="15">
        <f t="shared" si="22"/>
        <v>215.69959193947491</v>
      </c>
      <c r="Q42" s="17">
        <f t="shared" si="23"/>
        <v>161.91632594457366</v>
      </c>
      <c r="R42" s="17">
        <f t="shared" si="24"/>
        <v>250.33684790454166</v>
      </c>
      <c r="S42" s="17">
        <f t="shared" si="25"/>
        <v>0.53754280843466062</v>
      </c>
      <c r="T42" s="17">
        <f t="shared" si="26"/>
        <v>1.4677026681279706</v>
      </c>
      <c r="U42" s="17">
        <f t="shared" si="27"/>
        <v>8.8722424654990348</v>
      </c>
      <c r="V42" s="17">
        <f t="shared" si="28"/>
        <v>12.771365115359394</v>
      </c>
      <c r="W42" s="17">
        <f t="shared" si="29"/>
        <v>21.643607580858429</v>
      </c>
      <c r="X42" s="17">
        <f t="shared" si="30"/>
        <v>16.246917243413538</v>
      </c>
      <c r="Y42" s="17">
        <f t="shared" si="31"/>
        <v>25.119159708912573</v>
      </c>
      <c r="Z42" s="17">
        <f t="shared" si="32"/>
        <v>5.3937819256222527E-2</v>
      </c>
      <c r="AA42" s="17">
        <f t="shared" si="33"/>
        <v>0.14727139865547034</v>
      </c>
      <c r="AB42" s="24" t="s">
        <v>78</v>
      </c>
    </row>
    <row r="43" spans="1:28">
      <c r="A43" s="2">
        <f t="shared" si="34"/>
        <v>33</v>
      </c>
      <c r="B43" s="40">
        <v>41848.45208333333</v>
      </c>
      <c r="C43" s="40">
        <v>41856.474305555559</v>
      </c>
      <c r="D43" s="37">
        <v>2.0550000000000002</v>
      </c>
      <c r="E43" s="17">
        <f>260/824</f>
        <v>0.3155339805825243</v>
      </c>
      <c r="F43" s="2" t="s">
        <v>66</v>
      </c>
      <c r="G43" s="16" t="s">
        <v>20</v>
      </c>
      <c r="H43" s="23">
        <v>4.8788999999999999E-2</v>
      </c>
      <c r="I43" s="19">
        <v>145.26</v>
      </c>
      <c r="J43" s="19">
        <v>286.74</v>
      </c>
      <c r="K43" s="19">
        <v>324.2</v>
      </c>
      <c r="L43" s="19">
        <v>5.93</v>
      </c>
      <c r="M43" s="19">
        <v>8.7200000000000006</v>
      </c>
      <c r="N43" s="17">
        <f t="shared" si="20"/>
        <v>61.183729939125627</v>
      </c>
      <c r="O43" s="17">
        <f t="shared" si="21"/>
        <v>120.7753182069729</v>
      </c>
      <c r="P43" s="15">
        <f t="shared" si="22"/>
        <v>181.95904814609852</v>
      </c>
      <c r="Q43" s="17">
        <f t="shared" si="23"/>
        <v>136.55352640964153</v>
      </c>
      <c r="R43" s="17">
        <f t="shared" si="24"/>
        <v>197.73725634876718</v>
      </c>
      <c r="S43" s="17">
        <f t="shared" si="25"/>
        <v>2.4977248970054724</v>
      </c>
      <c r="T43" s="17">
        <f t="shared" si="26"/>
        <v>3.672877082949026</v>
      </c>
      <c r="U43" s="17">
        <f t="shared" si="27"/>
        <v>7.6267807403276091</v>
      </c>
      <c r="V43" s="17">
        <f t="shared" si="28"/>
        <v>15.055095067338145</v>
      </c>
      <c r="W43" s="17">
        <f t="shared" si="29"/>
        <v>22.681875807665755</v>
      </c>
      <c r="X43" s="17">
        <f t="shared" si="30"/>
        <v>17.021907724178792</v>
      </c>
      <c r="Y43" s="17">
        <f t="shared" si="31"/>
        <v>24.648688464506403</v>
      </c>
      <c r="Z43" s="17">
        <f t="shared" si="32"/>
        <v>0.31135074893393033</v>
      </c>
      <c r="AA43" s="17">
        <f t="shared" si="33"/>
        <v>0.45783786352510508</v>
      </c>
      <c r="AB43" s="24" t="s">
        <v>79</v>
      </c>
    </row>
    <row r="44" spans="1:28">
      <c r="A44" s="2">
        <f t="shared" si="34"/>
        <v>34</v>
      </c>
      <c r="B44" s="40">
        <v>41856.474305555559</v>
      </c>
      <c r="C44" s="40">
        <v>41872.390972222223</v>
      </c>
      <c r="D44" s="37">
        <v>0.5</v>
      </c>
      <c r="E44" s="17">
        <f>65/824</f>
        <v>7.8883495145631075E-2</v>
      </c>
      <c r="F44" s="2" t="s">
        <v>66</v>
      </c>
      <c r="G44" s="16" t="s">
        <v>20</v>
      </c>
      <c r="H44" s="23">
        <v>4.5730311361774995E-2</v>
      </c>
      <c r="I44" s="19">
        <v>672.14</v>
      </c>
      <c r="J44" s="19">
        <v>888.71</v>
      </c>
      <c r="K44" s="19">
        <v>1022.43</v>
      </c>
      <c r="L44" s="19">
        <v>3.4</v>
      </c>
      <c r="M44" s="19">
        <v>27.41</v>
      </c>
      <c r="N44" s="17">
        <f t="shared" si="20"/>
        <v>73.489549927034574</v>
      </c>
      <c r="O44" s="17">
        <f t="shared" si="21"/>
        <v>97.168592727192092</v>
      </c>
      <c r="P44" s="15">
        <f t="shared" si="22"/>
        <v>170.65814265422665</v>
      </c>
      <c r="Q44" s="17">
        <f t="shared" si="23"/>
        <v>111.78909234965626</v>
      </c>
      <c r="R44" s="17">
        <f t="shared" si="24"/>
        <v>185.27864227669085</v>
      </c>
      <c r="S44" s="17">
        <f t="shared" si="25"/>
        <v>0.37174468079852047</v>
      </c>
      <c r="T44" s="17">
        <f t="shared" si="26"/>
        <v>2.9969181472610136</v>
      </c>
      <c r="U44" s="17">
        <f t="shared" si="27"/>
        <v>4.6171444980342891</v>
      </c>
      <c r="V44" s="17">
        <f t="shared" si="28"/>
        <v>6.1048330509239932</v>
      </c>
      <c r="W44" s="17">
        <f t="shared" si="29"/>
        <v>10.721977548958282</v>
      </c>
      <c r="X44" s="17">
        <f t="shared" si="30"/>
        <v>7.0233984722307827</v>
      </c>
      <c r="Y44" s="17">
        <f t="shared" si="31"/>
        <v>11.640542970265074</v>
      </c>
      <c r="Z44" s="17">
        <f t="shared" si="32"/>
        <v>2.3355686751743064E-2</v>
      </c>
      <c r="AA44" s="17">
        <f t="shared" si="33"/>
        <v>0.1882880511368463</v>
      </c>
      <c r="AB44" s="24" t="s">
        <v>80</v>
      </c>
    </row>
    <row r="45" spans="1:28">
      <c r="A45" s="2">
        <f t="shared" si="34"/>
        <v>35</v>
      </c>
      <c r="B45" s="40">
        <v>41872.390972222223</v>
      </c>
      <c r="C45" s="40">
        <v>41880.379166666666</v>
      </c>
      <c r="D45" s="37">
        <v>0.8</v>
      </c>
      <c r="E45" s="17">
        <f>13/824</f>
        <v>1.5776699029126214E-2</v>
      </c>
      <c r="F45" s="2" t="s">
        <v>66</v>
      </c>
      <c r="G45" s="16" t="s">
        <v>20</v>
      </c>
      <c r="H45" s="23">
        <v>4.8788999999999999E-2</v>
      </c>
      <c r="I45" s="19">
        <v>223.72</v>
      </c>
      <c r="J45" s="19" t="s">
        <v>21</v>
      </c>
      <c r="K45" s="19">
        <v>315.42</v>
      </c>
      <c r="L45" s="19">
        <v>3.61</v>
      </c>
      <c r="M45" s="19">
        <v>11.86</v>
      </c>
      <c r="N45" s="17">
        <f t="shared" si="20"/>
        <v>36.68367869806719</v>
      </c>
      <c r="O45" s="19" t="s">
        <v>21</v>
      </c>
      <c r="P45" s="19" t="s">
        <v>21</v>
      </c>
      <c r="Q45" s="17">
        <f t="shared" si="23"/>
        <v>51.719854885322519</v>
      </c>
      <c r="R45" s="17">
        <f t="shared" si="24"/>
        <v>88.403533583389702</v>
      </c>
      <c r="S45" s="17">
        <f t="shared" si="25"/>
        <v>0.59193670704462076</v>
      </c>
      <c r="T45" s="17">
        <f t="shared" si="26"/>
        <v>1.944700649736621</v>
      </c>
      <c r="U45" s="17">
        <f t="shared" si="27"/>
        <v>4.5922365752612935</v>
      </c>
      <c r="V45" s="19" t="s">
        <v>21</v>
      </c>
      <c r="W45" s="19" t="s">
        <v>21</v>
      </c>
      <c r="X45" s="17">
        <f t="shared" si="30"/>
        <v>6.4745362979121985</v>
      </c>
      <c r="Y45" s="17">
        <f t="shared" si="31"/>
        <v>11.066772873173491</v>
      </c>
      <c r="Z45" s="17">
        <f t="shared" si="32"/>
        <v>7.4101439463138158E-2</v>
      </c>
      <c r="AA45" s="17">
        <f t="shared" si="33"/>
        <v>0.24344683435812145</v>
      </c>
    </row>
    <row r="46" spans="1:28">
      <c r="A46" s="2">
        <f t="shared" si="34"/>
        <v>36</v>
      </c>
      <c r="B46" s="40">
        <v>41880.379166666666</v>
      </c>
      <c r="C46" s="40">
        <v>41892.392361111109</v>
      </c>
      <c r="D46" s="37">
        <v>0.5</v>
      </c>
      <c r="E46" s="17">
        <v>0</v>
      </c>
      <c r="F46" s="2" t="s">
        <v>19</v>
      </c>
      <c r="G46" s="16" t="s">
        <v>20</v>
      </c>
      <c r="H46" s="23">
        <v>4.5730311361774995E-2</v>
      </c>
      <c r="I46" s="19">
        <v>331.62</v>
      </c>
      <c r="J46" s="19">
        <v>509.63</v>
      </c>
      <c r="K46" s="19">
        <v>644.24</v>
      </c>
      <c r="L46" s="19">
        <v>1.36</v>
      </c>
      <c r="M46" s="19">
        <v>15.55</v>
      </c>
      <c r="N46" s="17">
        <f t="shared" si="20"/>
        <v>36.258226778354519</v>
      </c>
      <c r="O46" s="17">
        <f t="shared" si="21"/>
        <v>55.721247551573526</v>
      </c>
      <c r="P46" s="15">
        <f t="shared" si="22"/>
        <v>91.979474329928053</v>
      </c>
      <c r="Q46" s="17">
        <f t="shared" si="23"/>
        <v>70.439056811070245</v>
      </c>
      <c r="R46" s="17">
        <f t="shared" si="24"/>
        <v>106.69728358942476</v>
      </c>
      <c r="S46" s="17">
        <f t="shared" si="25"/>
        <v>0.1486978723194082</v>
      </c>
      <c r="T46" s="17">
        <f t="shared" si="26"/>
        <v>1.7001852312991157</v>
      </c>
      <c r="U46" s="17">
        <f t="shared" si="27"/>
        <v>3.0182002752085855</v>
      </c>
      <c r="V46" s="17">
        <f t="shared" si="28"/>
        <v>4.6383372723434997</v>
      </c>
      <c r="W46" s="17">
        <f t="shared" si="29"/>
        <v>7.6565375475520856</v>
      </c>
      <c r="X46" s="17">
        <f t="shared" si="30"/>
        <v>5.8634742937711204</v>
      </c>
      <c r="Y46" s="17">
        <f t="shared" si="31"/>
        <v>8.8816745689797045</v>
      </c>
      <c r="Z46" s="17">
        <f t="shared" si="32"/>
        <v>1.2377879423085689E-2</v>
      </c>
      <c r="AA46" s="17">
        <f t="shared" si="33"/>
        <v>0.14152648899189887</v>
      </c>
    </row>
    <row r="47" spans="1:28">
      <c r="A47" s="2">
        <f t="shared" si="34"/>
        <v>37</v>
      </c>
      <c r="B47" s="40">
        <v>41892.392361111109</v>
      </c>
      <c r="C47" s="40">
        <v>41898.291666666664</v>
      </c>
      <c r="D47" s="37">
        <v>2.2250000000000001</v>
      </c>
      <c r="E47" s="17">
        <v>0</v>
      </c>
      <c r="F47" s="2" t="s">
        <v>19</v>
      </c>
      <c r="G47" s="16" t="s">
        <v>20</v>
      </c>
      <c r="H47" s="23">
        <v>4.8788999999999999E-2</v>
      </c>
      <c r="I47" s="19">
        <v>76.400000000000006</v>
      </c>
      <c r="J47" s="19">
        <v>190.33</v>
      </c>
      <c r="K47" s="19">
        <v>211.89</v>
      </c>
      <c r="L47" s="19">
        <v>1.36</v>
      </c>
      <c r="M47" s="19">
        <v>8.08</v>
      </c>
      <c r="N47" s="17">
        <f t="shared" si="20"/>
        <v>34.841870093668661</v>
      </c>
      <c r="O47" s="17">
        <f t="shared" si="21"/>
        <v>86.799124802721934</v>
      </c>
      <c r="P47" s="15">
        <f t="shared" si="22"/>
        <v>121.64099489639059</v>
      </c>
      <c r="Q47" s="17">
        <f t="shared" si="23"/>
        <v>96.631464059521619</v>
      </c>
      <c r="R47" s="17">
        <f t="shared" si="24"/>
        <v>131.47333415319028</v>
      </c>
      <c r="S47" s="17">
        <f t="shared" si="25"/>
        <v>0.62022177130090805</v>
      </c>
      <c r="T47" s="17">
        <f t="shared" si="26"/>
        <v>3.6848469941995128</v>
      </c>
      <c r="U47" s="17">
        <f t="shared" si="27"/>
        <v>5.9060968728534133</v>
      </c>
      <c r="V47" s="17">
        <f t="shared" si="28"/>
        <v>14.71344787709673</v>
      </c>
      <c r="W47" s="17">
        <f t="shared" si="29"/>
        <v>20.619544749950144</v>
      </c>
      <c r="X47" s="17">
        <f t="shared" si="30"/>
        <v>16.380142230221331</v>
      </c>
      <c r="Y47" s="17">
        <f t="shared" si="31"/>
        <v>22.286239103074745</v>
      </c>
      <c r="Z47" s="17">
        <f t="shared" si="32"/>
        <v>0.10513470873142201</v>
      </c>
      <c r="AA47" s="17">
        <f t="shared" si="33"/>
        <v>0.62462385775727203</v>
      </c>
      <c r="AB47" s="24" t="s">
        <v>81</v>
      </c>
    </row>
    <row r="48" spans="1:28" s="44" customFormat="1">
      <c r="A48" s="42">
        <f t="shared" si="34"/>
        <v>38</v>
      </c>
      <c r="B48" s="40">
        <v>41898.291666666664</v>
      </c>
      <c r="C48" s="40">
        <v>41914.760416666664</v>
      </c>
      <c r="D48" s="28">
        <v>0.56499999999999995</v>
      </c>
      <c r="E48" s="19">
        <f>412/824</f>
        <v>0.5</v>
      </c>
      <c r="F48" s="42" t="s">
        <v>66</v>
      </c>
      <c r="G48" s="20" t="s">
        <v>20</v>
      </c>
      <c r="H48" s="26">
        <v>4.5730311361774995E-2</v>
      </c>
      <c r="I48" s="19">
        <v>848.21</v>
      </c>
      <c r="J48" s="19">
        <v>2640.61</v>
      </c>
      <c r="K48" s="19">
        <v>2494.35</v>
      </c>
      <c r="L48" s="19">
        <v>5.44</v>
      </c>
      <c r="M48" s="19">
        <v>35.869999999999997</v>
      </c>
      <c r="N48" s="19">
        <f t="shared" si="20"/>
        <v>104.79671704150815</v>
      </c>
      <c r="O48" s="19">
        <f t="shared" si="21"/>
        <v>326.24852216665312</v>
      </c>
      <c r="P48" s="166">
        <f t="shared" si="22"/>
        <v>431.04523920816126</v>
      </c>
      <c r="Q48" s="19">
        <f t="shared" si="23"/>
        <v>308.17803510037118</v>
      </c>
      <c r="R48" s="19">
        <f t="shared" si="24"/>
        <v>412.97475214187932</v>
      </c>
      <c r="S48" s="19">
        <f t="shared" si="25"/>
        <v>0.67211438288372494</v>
      </c>
      <c r="T48" s="19">
        <f t="shared" si="26"/>
        <v>4.4317542121395608</v>
      </c>
      <c r="U48" s="19">
        <f t="shared" si="27"/>
        <v>6.3633680177006839</v>
      </c>
      <c r="V48" s="19">
        <f t="shared" si="28"/>
        <v>19.810156943705692</v>
      </c>
      <c r="W48" s="19">
        <f t="shared" si="29"/>
        <v>26.173524961406375</v>
      </c>
      <c r="X48" s="19">
        <f t="shared" si="30"/>
        <v>18.712897767005462</v>
      </c>
      <c r="Y48" s="19">
        <f t="shared" si="31"/>
        <v>25.076265784706145</v>
      </c>
      <c r="Z48" s="19">
        <f t="shared" si="32"/>
        <v>4.081149952994155E-2</v>
      </c>
      <c r="AA48" s="19">
        <f t="shared" si="33"/>
        <v>0.2691008250255521</v>
      </c>
      <c r="AB48" s="44" t="s">
        <v>105</v>
      </c>
    </row>
    <row r="49" spans="1:30" s="44" customFormat="1">
      <c r="A49" s="42">
        <f t="shared" si="34"/>
        <v>39</v>
      </c>
      <c r="B49" s="40">
        <v>41914.760416666664</v>
      </c>
      <c r="C49" s="43">
        <v>41929.488888888889</v>
      </c>
      <c r="D49" s="28">
        <v>0.82199999999999995</v>
      </c>
      <c r="E49" s="19" t="s">
        <v>51</v>
      </c>
      <c r="F49" s="42" t="s">
        <v>52</v>
      </c>
      <c r="G49" s="20" t="s">
        <v>20</v>
      </c>
      <c r="H49" s="26">
        <v>4.8788999999999999E-2</v>
      </c>
      <c r="I49" s="27">
        <v>208.89</v>
      </c>
      <c r="J49" s="27">
        <v>450.48</v>
      </c>
      <c r="K49" s="27">
        <v>694.33</v>
      </c>
      <c r="L49" s="27">
        <v>2.5</v>
      </c>
      <c r="M49" s="27">
        <v>12.99</v>
      </c>
      <c r="N49" s="17">
        <f t="shared" si="20"/>
        <v>35.193912562257886</v>
      </c>
      <c r="O49" s="17">
        <f t="shared" si="21"/>
        <v>75.897140748939307</v>
      </c>
      <c r="P49" s="15">
        <f t="shared" si="22"/>
        <v>111.09105331119719</v>
      </c>
      <c r="Q49" s="17">
        <f t="shared" si="23"/>
        <v>116.98113509192645</v>
      </c>
      <c r="R49" s="17">
        <f t="shared" si="24"/>
        <v>152.17504765418434</v>
      </c>
      <c r="S49" s="17">
        <f t="shared" si="25"/>
        <v>0.42120150033819093</v>
      </c>
      <c r="T49" s="17">
        <f t="shared" si="26"/>
        <v>2.1885629957572403</v>
      </c>
      <c r="U49" s="17">
        <f t="shared" si="27"/>
        <v>2.3895154929342475</v>
      </c>
      <c r="V49" s="17">
        <f t="shared" si="28"/>
        <v>5.15308985234822</v>
      </c>
      <c r="W49" s="17">
        <f t="shared" si="29"/>
        <v>7.5426053452824675</v>
      </c>
      <c r="X49" s="17">
        <f t="shared" si="30"/>
        <v>7.9425165982528405</v>
      </c>
      <c r="Y49" s="17">
        <f t="shared" si="31"/>
        <v>10.332032091187088</v>
      </c>
      <c r="Z49" s="17">
        <f t="shared" si="32"/>
        <v>2.8597772666645687E-2</v>
      </c>
      <c r="AA49" s="17">
        <f t="shared" si="33"/>
        <v>0.14859402677589101</v>
      </c>
      <c r="AB49" s="24"/>
      <c r="AD49" s="24"/>
    </row>
    <row r="50" spans="1:30">
      <c r="A50" s="2">
        <f t="shared" si="34"/>
        <v>40</v>
      </c>
      <c r="B50" s="43">
        <v>41929.488888888889</v>
      </c>
      <c r="C50" s="43">
        <v>41940.464583333334</v>
      </c>
      <c r="D50" s="28">
        <v>0.92500000000000004</v>
      </c>
      <c r="E50" s="17">
        <f>70/824</f>
        <v>8.4951456310679616E-2</v>
      </c>
      <c r="F50" s="2" t="s">
        <v>66</v>
      </c>
      <c r="G50" s="16" t="s">
        <v>20</v>
      </c>
      <c r="H50" s="23">
        <v>4.5730311361774995E-2</v>
      </c>
      <c r="I50" s="27">
        <v>156.19</v>
      </c>
      <c r="J50" s="27">
        <v>316.89999999999998</v>
      </c>
      <c r="K50" s="27">
        <v>424.72</v>
      </c>
      <c r="L50" s="27">
        <v>0.23</v>
      </c>
      <c r="M50" s="27">
        <v>6.19</v>
      </c>
      <c r="N50" s="17">
        <f t="shared" si="20"/>
        <v>31.592995039339321</v>
      </c>
      <c r="O50" s="17">
        <f t="shared" si="21"/>
        <v>64.100263320101348</v>
      </c>
      <c r="P50" s="15">
        <f t="shared" si="22"/>
        <v>95.693258359440676</v>
      </c>
      <c r="Q50" s="17">
        <f t="shared" si="23"/>
        <v>85.909321039171502</v>
      </c>
      <c r="R50" s="17">
        <f t="shared" si="24"/>
        <v>117.50231607851083</v>
      </c>
      <c r="S50" s="17">
        <f t="shared" si="25"/>
        <v>4.6522753435226612E-2</v>
      </c>
      <c r="T50" s="17">
        <f t="shared" si="26"/>
        <v>1.2520688859306639</v>
      </c>
      <c r="U50" s="17">
        <f t="shared" si="27"/>
        <v>2.8784506710942912</v>
      </c>
      <c r="V50" s="17">
        <f t="shared" si="28"/>
        <v>5.8402011503283227</v>
      </c>
      <c r="W50" s="17">
        <f t="shared" si="29"/>
        <v>8.7186518214226147</v>
      </c>
      <c r="X50" s="17">
        <f t="shared" si="30"/>
        <v>7.8272332993608256</v>
      </c>
      <c r="Y50" s="17">
        <f t="shared" si="31"/>
        <v>10.705683970455118</v>
      </c>
      <c r="Z50" s="17">
        <f t="shared" si="32"/>
        <v>4.2387070513585185E-3</v>
      </c>
      <c r="AA50" s="17">
        <f t="shared" si="33"/>
        <v>0.11407650716482273</v>
      </c>
    </row>
    <row r="51" spans="1:30">
      <c r="A51" s="2">
        <f t="shared" si="34"/>
        <v>41</v>
      </c>
      <c r="B51" s="43">
        <v>41940.464583333334</v>
      </c>
      <c r="C51" s="43">
        <v>41950.423611111109</v>
      </c>
      <c r="D51" s="28">
        <v>2.0049999999999999</v>
      </c>
      <c r="E51" s="17">
        <f>77/824</f>
        <v>9.3446601941747573E-2</v>
      </c>
      <c r="F51" s="2" t="s">
        <v>53</v>
      </c>
      <c r="G51" s="16" t="s">
        <v>20</v>
      </c>
      <c r="H51" s="23">
        <v>4.8788999999999999E-2</v>
      </c>
      <c r="I51" s="27">
        <v>56.99</v>
      </c>
      <c r="J51" s="27">
        <v>135.30000000000001</v>
      </c>
      <c r="K51" s="27">
        <v>164.16</v>
      </c>
      <c r="L51" s="27">
        <v>1.36</v>
      </c>
      <c r="M51" s="27">
        <v>4.46</v>
      </c>
      <c r="N51" s="17">
        <f t="shared" si="20"/>
        <v>23.420227920227919</v>
      </c>
      <c r="O51" s="17">
        <f t="shared" si="21"/>
        <v>55.601979954497942</v>
      </c>
      <c r="P51" s="15">
        <f t="shared" si="22"/>
        <v>79.022207874725865</v>
      </c>
      <c r="Q51" s="17">
        <f t="shared" si="23"/>
        <v>67.462091864969551</v>
      </c>
      <c r="R51" s="17">
        <f t="shared" si="24"/>
        <v>90.882319785197467</v>
      </c>
      <c r="S51" s="17">
        <f t="shared" si="25"/>
        <v>0.55889647256553732</v>
      </c>
      <c r="T51" s="17">
        <f t="shared" si="26"/>
        <v>1.8328516673840414</v>
      </c>
      <c r="U51" s="17">
        <f t="shared" si="27"/>
        <v>2.3516580576763797</v>
      </c>
      <c r="V51" s="17">
        <f t="shared" si="28"/>
        <v>5.583073086569823</v>
      </c>
      <c r="W51" s="17">
        <f t="shared" si="29"/>
        <v>7.9347311442462036</v>
      </c>
      <c r="X51" s="17">
        <f t="shared" si="30"/>
        <v>6.773963620778285</v>
      </c>
      <c r="Y51" s="17">
        <f t="shared" si="31"/>
        <v>9.1256216784546655</v>
      </c>
      <c r="Z51" s="17">
        <f t="shared" si="32"/>
        <v>5.6119581653621284E-2</v>
      </c>
      <c r="AA51" s="17">
        <f t="shared" si="33"/>
        <v>0.18403921630525802</v>
      </c>
    </row>
    <row r="52" spans="1:30">
      <c r="A52" s="2">
        <f t="shared" si="34"/>
        <v>42</v>
      </c>
      <c r="B52" s="43">
        <v>41950.423611111109</v>
      </c>
      <c r="C52" s="43">
        <v>41964.441666666666</v>
      </c>
      <c r="D52" s="28">
        <v>1.724</v>
      </c>
      <c r="E52" s="17">
        <f>22/824</f>
        <v>2.6699029126213591E-2</v>
      </c>
      <c r="F52" s="2" t="s">
        <v>66</v>
      </c>
      <c r="G52" s="16" t="s">
        <v>20</v>
      </c>
      <c r="H52" s="23">
        <v>4.5730311361774995E-2</v>
      </c>
      <c r="I52" s="27">
        <v>64.97</v>
      </c>
      <c r="J52" s="27">
        <v>77.44</v>
      </c>
      <c r="K52" s="27">
        <v>80.45</v>
      </c>
      <c r="L52" s="27">
        <v>1.36</v>
      </c>
      <c r="M52" s="27">
        <v>4.46</v>
      </c>
      <c r="N52" s="17">
        <f t="shared" si="20"/>
        <v>24.493224879641943</v>
      </c>
      <c r="O52" s="17">
        <f t="shared" si="21"/>
        <v>29.194325606887364</v>
      </c>
      <c r="P52" s="15">
        <f t="shared" si="22"/>
        <v>53.687550486529304</v>
      </c>
      <c r="Q52" s="17">
        <f t="shared" si="23"/>
        <v>30.329074058291429</v>
      </c>
      <c r="R52" s="17">
        <f t="shared" si="24"/>
        <v>54.822298937933368</v>
      </c>
      <c r="S52" s="17">
        <f t="shared" si="25"/>
        <v>0.51271026375731943</v>
      </c>
      <c r="T52" s="17">
        <f t="shared" si="26"/>
        <v>1.6813880708512092</v>
      </c>
      <c r="U52" s="17">
        <f t="shared" si="27"/>
        <v>1.7472626487012173</v>
      </c>
      <c r="V52" s="17">
        <f t="shared" si="28"/>
        <v>2.0826230493369597</v>
      </c>
      <c r="W52" s="17">
        <f t="shared" si="29"/>
        <v>3.8298856980381766</v>
      </c>
      <c r="X52" s="17">
        <f t="shared" si="30"/>
        <v>2.1635721115593798</v>
      </c>
      <c r="Y52" s="17">
        <f t="shared" si="31"/>
        <v>3.9108347602605971</v>
      </c>
      <c r="Z52" s="17">
        <f t="shared" si="32"/>
        <v>3.6574991568934206E-2</v>
      </c>
      <c r="AA52" s="17">
        <f t="shared" si="33"/>
        <v>0.11994445764518129</v>
      </c>
    </row>
    <row r="53" spans="1:30">
      <c r="A53" s="2">
        <f t="shared" si="34"/>
        <v>43</v>
      </c>
      <c r="B53" s="43">
        <v>41964.441666666666</v>
      </c>
      <c r="C53" s="43">
        <v>41982.40625</v>
      </c>
      <c r="D53" s="28">
        <v>1.7030000000000001</v>
      </c>
      <c r="E53" s="17">
        <f>665/824</f>
        <v>0.80703883495145634</v>
      </c>
      <c r="F53" s="2" t="s">
        <v>53</v>
      </c>
      <c r="G53" s="16" t="s">
        <v>20</v>
      </c>
      <c r="H53" s="23">
        <v>4.8788999999999999E-2</v>
      </c>
      <c r="I53" s="27">
        <v>93.59</v>
      </c>
      <c r="J53" s="27">
        <v>80.819999999999993</v>
      </c>
      <c r="K53" s="27">
        <v>508.89</v>
      </c>
      <c r="L53" s="27">
        <v>0.46</v>
      </c>
      <c r="M53" s="27">
        <v>8.91</v>
      </c>
      <c r="N53" s="17">
        <f t="shared" si="20"/>
        <v>32.6679722888356</v>
      </c>
      <c r="O53" s="17">
        <f t="shared" si="21"/>
        <v>28.210551558753</v>
      </c>
      <c r="P53" s="15">
        <f t="shared" si="22"/>
        <v>60.878523847588596</v>
      </c>
      <c r="Q53" s="17">
        <f t="shared" si="23"/>
        <v>177.63013589128698</v>
      </c>
      <c r="R53" s="17">
        <f t="shared" si="24"/>
        <v>210.2981081801226</v>
      </c>
      <c r="S53" s="17">
        <f t="shared" si="25"/>
        <v>0.16056488142819081</v>
      </c>
      <c r="T53" s="17">
        <f t="shared" si="26"/>
        <v>3.1100719424460435</v>
      </c>
      <c r="U53" s="17">
        <f t="shared" si="27"/>
        <v>1.8184653483289157</v>
      </c>
      <c r="V53" s="17">
        <f t="shared" si="28"/>
        <v>1.5703426589586813</v>
      </c>
      <c r="W53" s="17">
        <f t="shared" si="29"/>
        <v>3.3888080072875968</v>
      </c>
      <c r="X53" s="17">
        <f t="shared" si="30"/>
        <v>9.8877960370883855</v>
      </c>
      <c r="Y53" s="17">
        <f t="shared" si="31"/>
        <v>11.706261385417301</v>
      </c>
      <c r="Z53" s="17">
        <f t="shared" si="32"/>
        <v>8.9378572521775987E-3</v>
      </c>
      <c r="AA53" s="17">
        <f t="shared" si="33"/>
        <v>0.17312240894978781</v>
      </c>
    </row>
    <row r="54" spans="1:30">
      <c r="A54" s="2">
        <f t="shared" si="34"/>
        <v>44</v>
      </c>
      <c r="B54" s="43">
        <v>41982.40625</v>
      </c>
      <c r="C54" s="43">
        <v>41996.416666666664</v>
      </c>
      <c r="D54" s="28">
        <v>0.73</v>
      </c>
      <c r="E54" s="17">
        <f>190/824</f>
        <v>0.23058252427184467</v>
      </c>
      <c r="F54" s="2" t="s">
        <v>66</v>
      </c>
      <c r="G54" s="16" t="s">
        <v>20</v>
      </c>
      <c r="H54" s="23">
        <v>4.5730311361774995E-2</v>
      </c>
      <c r="I54" s="27">
        <v>113.25</v>
      </c>
      <c r="J54" s="27">
        <v>53.31</v>
      </c>
      <c r="K54" s="27">
        <v>127.11</v>
      </c>
      <c r="L54" s="27">
        <v>0.91</v>
      </c>
      <c r="M54" s="27">
        <v>5.53</v>
      </c>
      <c r="N54" s="17">
        <f t="shared" si="20"/>
        <v>18.078271837244518</v>
      </c>
      <c r="O54" s="17">
        <f t="shared" si="21"/>
        <v>8.5099573655055654</v>
      </c>
      <c r="P54" s="15">
        <f t="shared" si="22"/>
        <v>26.588229202750085</v>
      </c>
      <c r="Q54" s="17">
        <f t="shared" si="23"/>
        <v>20.290764973352324</v>
      </c>
      <c r="R54" s="17">
        <f t="shared" si="24"/>
        <v>38.369036810596839</v>
      </c>
      <c r="S54" s="17">
        <f t="shared" si="25"/>
        <v>0.14526470085556303</v>
      </c>
      <c r="T54" s="17">
        <f t="shared" si="26"/>
        <v>0.88276241289149837</v>
      </c>
      <c r="U54" s="17">
        <f t="shared" si="27"/>
        <v>1.29034505306749</v>
      </c>
      <c r="V54" s="17">
        <f t="shared" si="28"/>
        <v>0.60740216140421988</v>
      </c>
      <c r="W54" s="17">
        <f t="shared" si="29"/>
        <v>1.89774721447171</v>
      </c>
      <c r="X54" s="17">
        <f t="shared" si="30"/>
        <v>1.4482627787674054</v>
      </c>
      <c r="Y54" s="17">
        <f t="shared" si="31"/>
        <v>2.7386078318348952</v>
      </c>
      <c r="Z54" s="17">
        <f t="shared" si="32"/>
        <v>1.0368335525752019E-2</v>
      </c>
      <c r="AA54" s="17">
        <f t="shared" si="33"/>
        <v>6.3007577425723799E-2</v>
      </c>
    </row>
    <row r="55" spans="1:30">
      <c r="A55" s="2">
        <f t="shared" si="34"/>
        <v>45</v>
      </c>
      <c r="B55" s="43">
        <v>41996.416666666664</v>
      </c>
      <c r="C55" s="43">
        <v>42011.64166666667</v>
      </c>
      <c r="D55" s="28">
        <v>1.411</v>
      </c>
      <c r="E55" s="17">
        <f>102/824</f>
        <v>0.12378640776699029</v>
      </c>
      <c r="F55" s="2" t="s">
        <v>66</v>
      </c>
      <c r="G55" s="16" t="s">
        <v>20</v>
      </c>
      <c r="H55" s="23">
        <v>4.8788999999999999E-2</v>
      </c>
      <c r="I55" s="27">
        <v>77.459999999999994</v>
      </c>
      <c r="J55" s="27">
        <v>24.9</v>
      </c>
      <c r="K55" s="27">
        <v>84.1</v>
      </c>
      <c r="L55" s="27">
        <v>2.5</v>
      </c>
      <c r="M55" s="27">
        <v>6.54</v>
      </c>
      <c r="N55" s="17">
        <f t="shared" si="20"/>
        <v>22.401783188833548</v>
      </c>
      <c r="O55" s="17">
        <f t="shared" si="21"/>
        <v>7.2011928918403738</v>
      </c>
      <c r="P55" s="15">
        <f t="shared" si="22"/>
        <v>29.602976080673923</v>
      </c>
      <c r="Q55" s="17">
        <f t="shared" si="23"/>
        <v>24.322101293324316</v>
      </c>
      <c r="R55" s="17">
        <f t="shared" si="24"/>
        <v>46.723884482157864</v>
      </c>
      <c r="S55" s="17">
        <f t="shared" si="25"/>
        <v>0.72301133452212585</v>
      </c>
      <c r="T55" s="17">
        <f t="shared" si="26"/>
        <v>1.8913976511098816</v>
      </c>
      <c r="U55" s="17">
        <f t="shared" si="27"/>
        <v>1.4713814902348101</v>
      </c>
      <c r="V55" s="17">
        <f t="shared" si="28"/>
        <v>0.47298475480050056</v>
      </c>
      <c r="W55" s="17">
        <f t="shared" si="29"/>
        <v>1.9443662450353107</v>
      </c>
      <c r="X55" s="17">
        <f t="shared" si="30"/>
        <v>1.5975107581816104</v>
      </c>
      <c r="Y55" s="17">
        <f t="shared" si="31"/>
        <v>3.0688922484164203</v>
      </c>
      <c r="Z55" s="17">
        <f t="shared" si="32"/>
        <v>4.7488429196837399E-2</v>
      </c>
      <c r="AA55" s="17">
        <f t="shared" si="33"/>
        <v>0.12422973077892667</v>
      </c>
    </row>
    <row r="56" spans="1:30">
      <c r="A56" s="2">
        <f t="shared" si="34"/>
        <v>46</v>
      </c>
      <c r="B56" s="43">
        <v>42011.64166666667</v>
      </c>
      <c r="C56" s="43">
        <v>42027.378472222219</v>
      </c>
      <c r="D56" s="28">
        <v>2.093</v>
      </c>
      <c r="E56" s="17">
        <v>0</v>
      </c>
      <c r="F56" s="2" t="s">
        <v>19</v>
      </c>
      <c r="G56" s="16" t="s">
        <v>20</v>
      </c>
      <c r="H56" s="23">
        <v>4.5730311361774995E-2</v>
      </c>
      <c r="I56" s="27">
        <v>52.24</v>
      </c>
      <c r="J56" s="27">
        <v>33.47</v>
      </c>
      <c r="K56" s="27">
        <v>62.47</v>
      </c>
      <c r="L56" s="27">
        <v>1.59</v>
      </c>
      <c r="M56" s="27">
        <v>2.8</v>
      </c>
      <c r="N56" s="17">
        <f t="shared" si="20"/>
        <v>23.909375804380286</v>
      </c>
      <c r="O56" s="17">
        <f t="shared" si="21"/>
        <v>15.318660187071364</v>
      </c>
      <c r="P56" s="15">
        <f t="shared" si="22"/>
        <v>39.228035991451648</v>
      </c>
      <c r="Q56" s="17">
        <f t="shared" si="23"/>
        <v>28.591476004970069</v>
      </c>
      <c r="R56" s="17">
        <f t="shared" si="24"/>
        <v>52.500851809350351</v>
      </c>
      <c r="S56" s="17">
        <f t="shared" si="25"/>
        <v>0.72771645346410141</v>
      </c>
      <c r="T56" s="17">
        <f t="shared" si="26"/>
        <v>1.2815132513833229</v>
      </c>
      <c r="U56" s="17">
        <f t="shared" si="27"/>
        <v>1.5193284126173654</v>
      </c>
      <c r="V56" s="17">
        <f t="shared" si="28"/>
        <v>0.97342882791545193</v>
      </c>
      <c r="W56" s="17">
        <f t="shared" si="29"/>
        <v>2.4927572405328173</v>
      </c>
      <c r="X56" s="17">
        <f t="shared" si="30"/>
        <v>1.8168538655476034</v>
      </c>
      <c r="Y56" s="17">
        <f t="shared" si="31"/>
        <v>3.3361822781649684</v>
      </c>
      <c r="Z56" s="17">
        <f t="shared" si="32"/>
        <v>4.6242958959831756E-2</v>
      </c>
      <c r="AA56" s="17">
        <f t="shared" si="33"/>
        <v>8.1434141564483586E-2</v>
      </c>
    </row>
    <row r="57" spans="1:30">
      <c r="A57" s="2">
        <f t="shared" si="34"/>
        <v>47</v>
      </c>
      <c r="B57" s="43">
        <v>42027.378472222219</v>
      </c>
      <c r="C57" s="43">
        <v>42046.569444444445</v>
      </c>
      <c r="D57" s="28">
        <v>2.665</v>
      </c>
      <c r="E57" s="17">
        <f>1720/824</f>
        <v>2.087378640776699</v>
      </c>
      <c r="F57" s="2" t="s">
        <v>53</v>
      </c>
      <c r="G57" s="16" t="s">
        <v>20</v>
      </c>
      <c r="H57" s="23">
        <v>4.8788999999999999E-2</v>
      </c>
      <c r="I57" s="27">
        <v>62.9</v>
      </c>
      <c r="J57" s="27">
        <v>74.98</v>
      </c>
      <c r="K57" s="27">
        <v>243.27</v>
      </c>
      <c r="L57" s="27">
        <v>1.82</v>
      </c>
      <c r="M57" s="27">
        <v>2.5099999999999998</v>
      </c>
      <c r="N57" s="17">
        <f t="shared" si="20"/>
        <v>34.357847055688786</v>
      </c>
      <c r="O57" s="17">
        <f t="shared" si="21"/>
        <v>40.956301625366379</v>
      </c>
      <c r="P57" s="15">
        <f t="shared" si="22"/>
        <v>75.314148681055173</v>
      </c>
      <c r="Q57" s="17">
        <f t="shared" si="23"/>
        <v>132.8812949640288</v>
      </c>
      <c r="R57" s="17">
        <f t="shared" si="24"/>
        <v>167.23914201971758</v>
      </c>
      <c r="S57" s="17">
        <f t="shared" si="25"/>
        <v>0.99413802291500131</v>
      </c>
      <c r="T57" s="17">
        <f t="shared" si="26"/>
        <v>1.3710365041300292</v>
      </c>
      <c r="U57" s="17">
        <f t="shared" si="27"/>
        <v>1.7903130001874952</v>
      </c>
      <c r="V57" s="17">
        <f t="shared" si="28"/>
        <v>2.1341441773300223</v>
      </c>
      <c r="W57" s="17">
        <f t="shared" si="29"/>
        <v>3.9244571775175179</v>
      </c>
      <c r="X57" s="17">
        <f t="shared" si="30"/>
        <v>6.9241564953197452</v>
      </c>
      <c r="Y57" s="17">
        <f t="shared" si="31"/>
        <v>8.7144694955072399</v>
      </c>
      <c r="Z57" s="17">
        <f t="shared" si="32"/>
        <v>5.180237933769858E-2</v>
      </c>
      <c r="AA57" s="17">
        <f t="shared" si="33"/>
        <v>7.1441742932760136E-2</v>
      </c>
    </row>
    <row r="58" spans="1:30">
      <c r="A58" s="2">
        <f>A57+1</f>
        <v>48</v>
      </c>
      <c r="B58" s="43">
        <v>42046.569444444445</v>
      </c>
      <c r="C58" s="43">
        <v>42055.395833333336</v>
      </c>
      <c r="D58" s="28">
        <v>3.4550000000000001</v>
      </c>
      <c r="E58" s="17">
        <v>0</v>
      </c>
      <c r="F58" s="2" t="s">
        <v>19</v>
      </c>
      <c r="G58" s="16" t="s">
        <v>20</v>
      </c>
      <c r="H58" s="23">
        <v>4.5730311361774995E-2</v>
      </c>
      <c r="I58" s="27">
        <v>18.5</v>
      </c>
      <c r="J58" s="27">
        <v>7.78</v>
      </c>
      <c r="K58" s="27">
        <v>82.7</v>
      </c>
      <c r="L58" s="27">
        <v>1.1399999999999999</v>
      </c>
      <c r="M58" s="27">
        <v>1.57</v>
      </c>
      <c r="N58" s="17">
        <f t="shared" si="20"/>
        <v>13.977053314670254</v>
      </c>
      <c r="O58" s="17">
        <f t="shared" si="21"/>
        <v>5.8779175561153831</v>
      </c>
      <c r="P58" s="15">
        <f t="shared" si="22"/>
        <v>19.854970870785635</v>
      </c>
      <c r="Q58" s="17">
        <f t="shared" si="23"/>
        <v>62.481205898552972</v>
      </c>
      <c r="R58" s="17">
        <f t="shared" si="24"/>
        <v>76.458259213223229</v>
      </c>
      <c r="S58" s="17">
        <f t="shared" si="25"/>
        <v>0.86128869074184267</v>
      </c>
      <c r="T58" s="17">
        <f t="shared" si="26"/>
        <v>1.1861607407585026</v>
      </c>
      <c r="U58" s="17">
        <f t="shared" si="27"/>
        <v>1.583552853904129</v>
      </c>
      <c r="V58" s="17">
        <f t="shared" si="28"/>
        <v>0.66594817315535804</v>
      </c>
      <c r="W58" s="17">
        <f t="shared" si="29"/>
        <v>2.2495010270594866</v>
      </c>
      <c r="X58" s="17">
        <f t="shared" si="30"/>
        <v>7.0789092442092683</v>
      </c>
      <c r="Y58" s="17">
        <f t="shared" si="31"/>
        <v>8.662462098113398</v>
      </c>
      <c r="Z58" s="17">
        <f t="shared" si="32"/>
        <v>9.7581094781119301E-2</v>
      </c>
      <c r="AA58" s="17">
        <f t="shared" si="33"/>
        <v>0.13438799895294501</v>
      </c>
    </row>
    <row r="59" spans="1:30">
      <c r="A59" s="2">
        <f t="shared" ref="A59:A65" si="35">A58+1</f>
        <v>49</v>
      </c>
      <c r="B59" s="43">
        <v>42055.395833333336</v>
      </c>
      <c r="C59" s="43">
        <v>42061.4</v>
      </c>
      <c r="D59" s="28">
        <v>2.2549999999999999</v>
      </c>
      <c r="E59" s="17">
        <v>0</v>
      </c>
      <c r="F59" s="2" t="s">
        <v>19</v>
      </c>
      <c r="G59" s="16" t="s">
        <v>20</v>
      </c>
      <c r="H59" s="23">
        <v>4.8788999999999999E-2</v>
      </c>
      <c r="I59" s="27">
        <v>24.01</v>
      </c>
      <c r="J59" s="27">
        <v>17.04</v>
      </c>
      <c r="K59" s="27">
        <v>51.74</v>
      </c>
      <c r="L59" s="27">
        <v>3.42</v>
      </c>
      <c r="M59" s="27">
        <v>5.97</v>
      </c>
      <c r="N59" s="17">
        <f t="shared" si="20"/>
        <v>11.097286273545267</v>
      </c>
      <c r="O59" s="17">
        <f t="shared" si="21"/>
        <v>7.8757916743528247</v>
      </c>
      <c r="P59" s="15">
        <f t="shared" si="22"/>
        <v>18.973077947898091</v>
      </c>
      <c r="Q59" s="17">
        <f t="shared" si="23"/>
        <v>23.913935518252064</v>
      </c>
      <c r="R59" s="17">
        <f t="shared" si="24"/>
        <v>35.011221791797333</v>
      </c>
      <c r="S59" s="17">
        <f t="shared" si="25"/>
        <v>1.5807046670356022</v>
      </c>
      <c r="T59" s="17">
        <f t="shared" si="26"/>
        <v>2.7593002521060073</v>
      </c>
      <c r="U59" s="17">
        <f t="shared" si="27"/>
        <v>1.8482641954554437</v>
      </c>
      <c r="V59" s="17">
        <f t="shared" si="28"/>
        <v>1.3117210283448879</v>
      </c>
      <c r="W59" s="17">
        <f t="shared" si="29"/>
        <v>3.1599852238003314</v>
      </c>
      <c r="X59" s="17">
        <f t="shared" si="30"/>
        <v>3.9828900238594187</v>
      </c>
      <c r="Y59" s="17">
        <f t="shared" si="31"/>
        <v>5.8311542193148629</v>
      </c>
      <c r="Z59" s="17">
        <f t="shared" si="32"/>
        <v>0.26326795287203736</v>
      </c>
      <c r="AA59" s="17">
        <f t="shared" si="33"/>
        <v>0.45956423352224063</v>
      </c>
    </row>
    <row r="60" spans="1:30">
      <c r="A60" s="2">
        <f t="shared" si="35"/>
        <v>50</v>
      </c>
      <c r="B60" s="43">
        <v>42061.4</v>
      </c>
      <c r="C60" s="43">
        <v>42076.383333333331</v>
      </c>
      <c r="D60" s="28">
        <v>2.085</v>
      </c>
      <c r="E60" s="17">
        <f>53/824</f>
        <v>6.4320388349514562E-2</v>
      </c>
      <c r="F60" s="2" t="s">
        <v>66</v>
      </c>
      <c r="G60" s="16" t="s">
        <v>20</v>
      </c>
      <c r="H60" s="23">
        <v>4.5730311361774995E-2</v>
      </c>
      <c r="I60" s="27">
        <v>50.67</v>
      </c>
      <c r="J60" s="27">
        <v>103.71</v>
      </c>
      <c r="K60" s="27">
        <v>183.85</v>
      </c>
      <c r="L60" s="27">
        <v>0.91</v>
      </c>
      <c r="M60" s="27">
        <v>4.97</v>
      </c>
      <c r="N60" s="17">
        <f t="shared" si="20"/>
        <v>23.102171591227794</v>
      </c>
      <c r="O60" s="17">
        <f t="shared" si="21"/>
        <v>47.284906566533145</v>
      </c>
      <c r="P60" s="15">
        <f t="shared" si="22"/>
        <v>70.387078157760939</v>
      </c>
      <c r="Q60" s="17">
        <f t="shared" si="23"/>
        <v>83.823450701543905</v>
      </c>
      <c r="R60" s="17">
        <f t="shared" si="24"/>
        <v>106.92562229277169</v>
      </c>
      <c r="S60" s="17">
        <f t="shared" si="25"/>
        <v>0.41489986477239577</v>
      </c>
      <c r="T60" s="17">
        <f t="shared" si="26"/>
        <v>2.265991569141546</v>
      </c>
      <c r="U60" s="17">
        <f t="shared" si="27"/>
        <v>1.5418579482469208</v>
      </c>
      <c r="V60" s="17">
        <f t="shared" si="28"/>
        <v>3.1558335861987006</v>
      </c>
      <c r="W60" s="17">
        <f t="shared" si="29"/>
        <v>4.6976915344456209</v>
      </c>
      <c r="X60" s="17">
        <f t="shared" si="30"/>
        <v>5.5944460979908497</v>
      </c>
      <c r="Y60" s="17">
        <f t="shared" si="31"/>
        <v>7.13630404623777</v>
      </c>
      <c r="Z60" s="17">
        <f t="shared" si="32"/>
        <v>2.7690758494270731E-2</v>
      </c>
      <c r="AA60" s="17">
        <f t="shared" si="33"/>
        <v>0.15123414254563244</v>
      </c>
    </row>
    <row r="61" spans="1:30">
      <c r="A61" s="2">
        <f t="shared" si="35"/>
        <v>51</v>
      </c>
      <c r="B61" s="43">
        <v>42076.383333333331</v>
      </c>
      <c r="C61" s="43">
        <v>42082.40625</v>
      </c>
      <c r="D61" s="28">
        <v>2.3719999999999999</v>
      </c>
      <c r="E61" s="17">
        <v>0</v>
      </c>
      <c r="F61" s="2" t="s">
        <v>19</v>
      </c>
      <c r="G61" s="16" t="s">
        <v>20</v>
      </c>
      <c r="H61" s="23">
        <v>4.8788999999999999E-2</v>
      </c>
      <c r="I61" s="27">
        <v>34.25</v>
      </c>
      <c r="J61" s="27">
        <v>66.7</v>
      </c>
      <c r="K61" s="27">
        <v>114.74</v>
      </c>
      <c r="L61" s="27">
        <v>1.1299999999999999</v>
      </c>
      <c r="M61" s="27">
        <v>4.3499999999999996</v>
      </c>
      <c r="N61" s="17">
        <f t="shared" si="20"/>
        <v>16.651499313369818</v>
      </c>
      <c r="O61" s="17">
        <f t="shared" si="21"/>
        <v>32.427883334358157</v>
      </c>
      <c r="P61" s="15">
        <f t="shared" si="22"/>
        <v>49.079382647727975</v>
      </c>
      <c r="Q61" s="17">
        <f t="shared" si="23"/>
        <v>55.783738137694975</v>
      </c>
      <c r="R61" s="17">
        <f t="shared" si="24"/>
        <v>72.435237451064793</v>
      </c>
      <c r="S61" s="17">
        <f t="shared" si="25"/>
        <v>0.54937793355059528</v>
      </c>
      <c r="T61" s="17">
        <f t="shared" si="26"/>
        <v>2.1148619565885753</v>
      </c>
      <c r="U61" s="17">
        <f t="shared" si="27"/>
        <v>2.764690304536471</v>
      </c>
      <c r="V61" s="17">
        <f t="shared" si="28"/>
        <v>5.3840830164257696</v>
      </c>
      <c r="W61" s="17">
        <f t="shared" si="29"/>
        <v>8.1487733209622419</v>
      </c>
      <c r="X61" s="17">
        <f t="shared" si="30"/>
        <v>9.2619143224091882</v>
      </c>
      <c r="Y61" s="17">
        <f t="shared" si="31"/>
        <v>12.026604626945659</v>
      </c>
      <c r="Z61" s="17">
        <f t="shared" si="32"/>
        <v>9.1214599828502524E-2</v>
      </c>
      <c r="AA61" s="17">
        <f t="shared" si="33"/>
        <v>0.35113584889733279</v>
      </c>
    </row>
    <row r="62" spans="1:30">
      <c r="A62" s="2">
        <f t="shared" si="35"/>
        <v>52</v>
      </c>
      <c r="B62" s="43">
        <v>42082.40625</v>
      </c>
      <c r="C62" s="43">
        <v>42103.395833333336</v>
      </c>
      <c r="D62" s="28">
        <v>0.27500000000000002</v>
      </c>
      <c r="E62" s="17">
        <f>62/824</f>
        <v>7.5242718446601936E-2</v>
      </c>
      <c r="F62" s="2" t="s">
        <v>66</v>
      </c>
      <c r="G62" s="16" t="s">
        <v>20</v>
      </c>
      <c r="H62" s="23">
        <v>4.5730311361774995E-2</v>
      </c>
      <c r="I62" s="27">
        <v>561.07000000000005</v>
      </c>
      <c r="J62" s="27">
        <v>776.08</v>
      </c>
      <c r="K62" s="27">
        <v>1112.21</v>
      </c>
      <c r="L62" s="27">
        <v>3.19</v>
      </c>
      <c r="M62" s="27">
        <v>20.55</v>
      </c>
      <c r="N62" s="17">
        <f t="shared" si="20"/>
        <v>33.740039244292426</v>
      </c>
      <c r="O62" s="17">
        <f t="shared" si="21"/>
        <v>46.669701920812848</v>
      </c>
      <c r="P62" s="15">
        <f t="shared" si="22"/>
        <v>80.409741165105274</v>
      </c>
      <c r="Q62" s="17">
        <f t="shared" si="23"/>
        <v>66.88293626088452</v>
      </c>
      <c r="R62" s="17">
        <f t="shared" si="24"/>
        <v>100.62297550517695</v>
      </c>
      <c r="S62" s="17">
        <f t="shared" si="25"/>
        <v>0.19183118895911888</v>
      </c>
      <c r="T62" s="17">
        <f t="shared" si="26"/>
        <v>1.235777721978023</v>
      </c>
      <c r="U62" s="17">
        <f t="shared" si="27"/>
        <v>1.6074658895541929</v>
      </c>
      <c r="V62" s="17">
        <f t="shared" si="28"/>
        <v>2.2234696696761866</v>
      </c>
      <c r="W62" s="17">
        <f t="shared" si="29"/>
        <v>3.8309355592303795</v>
      </c>
      <c r="X62" s="17">
        <f t="shared" si="30"/>
        <v>3.1864823230988448</v>
      </c>
      <c r="Y62" s="17">
        <f t="shared" si="31"/>
        <v>4.7939482126530377</v>
      </c>
      <c r="Z62" s="17">
        <f t="shared" si="32"/>
        <v>9.1393519305574614E-3</v>
      </c>
      <c r="AA62" s="17">
        <f t="shared" si="33"/>
        <v>5.887576243666328E-2</v>
      </c>
    </row>
    <row r="63" spans="1:30">
      <c r="A63" s="2">
        <f t="shared" si="35"/>
        <v>53</v>
      </c>
      <c r="B63" s="43">
        <v>42103.395833333336</v>
      </c>
      <c r="C63" s="43">
        <v>42117.388888888891</v>
      </c>
      <c r="D63" s="28">
        <v>0.90500000000000003</v>
      </c>
      <c r="E63" s="17">
        <v>0</v>
      </c>
      <c r="F63" s="2" t="s">
        <v>19</v>
      </c>
      <c r="G63" s="16" t="s">
        <v>20</v>
      </c>
      <c r="H63" s="23">
        <v>4.8788999999999999E-2</v>
      </c>
      <c r="I63" s="27">
        <v>188.43</v>
      </c>
      <c r="J63" s="27">
        <v>264.87</v>
      </c>
      <c r="K63" s="27">
        <v>835.71</v>
      </c>
      <c r="L63" s="27">
        <v>6.37</v>
      </c>
      <c r="M63" s="27">
        <v>16.190000000000001</v>
      </c>
      <c r="N63" s="17">
        <f t="shared" si="20"/>
        <v>34.952376560290233</v>
      </c>
      <c r="O63" s="17">
        <f t="shared" si="21"/>
        <v>49.131433314886557</v>
      </c>
      <c r="P63" s="15">
        <f t="shared" si="22"/>
        <v>84.083809875176797</v>
      </c>
      <c r="Q63" s="17">
        <f t="shared" si="23"/>
        <v>155.01804710078093</v>
      </c>
      <c r="R63" s="17">
        <f t="shared" si="24"/>
        <v>189.97042366107115</v>
      </c>
      <c r="S63" s="17">
        <f t="shared" si="25"/>
        <v>1.1815880628830269</v>
      </c>
      <c r="T63" s="17">
        <f t="shared" si="26"/>
        <v>3.0031257045645536</v>
      </c>
      <c r="U63" s="17">
        <f t="shared" si="27"/>
        <v>2.4978373323484289</v>
      </c>
      <c r="V63" s="17">
        <f t="shared" si="28"/>
        <v>3.5111297257290683</v>
      </c>
      <c r="W63" s="17">
        <f t="shared" si="29"/>
        <v>6.0089670580774976</v>
      </c>
      <c r="X63" s="17">
        <f t="shared" si="30"/>
        <v>11.078212795292181</v>
      </c>
      <c r="Y63" s="17">
        <f t="shared" si="31"/>
        <v>13.576050127640608</v>
      </c>
      <c r="Z63" s="17">
        <f t="shared" si="32"/>
        <v>8.4441032781719952E-2</v>
      </c>
      <c r="AA63" s="17">
        <f t="shared" si="33"/>
        <v>0.21461543496641225</v>
      </c>
    </row>
    <row r="64" spans="1:30">
      <c r="A64" s="2">
        <f t="shared" si="35"/>
        <v>54</v>
      </c>
      <c r="B64" s="43">
        <v>42117.388888888891</v>
      </c>
      <c r="C64" s="43">
        <v>42137.364583333336</v>
      </c>
      <c r="D64" s="28">
        <v>0.5</v>
      </c>
      <c r="E64" s="17">
        <f>310/824</f>
        <v>0.37621359223300971</v>
      </c>
      <c r="F64" s="2" t="s">
        <v>53</v>
      </c>
      <c r="G64" s="16" t="s">
        <v>20</v>
      </c>
      <c r="H64" s="23">
        <v>4.5730311361774995E-2</v>
      </c>
      <c r="I64" s="19" t="s">
        <v>21</v>
      </c>
      <c r="J64" s="27">
        <v>906.4</v>
      </c>
      <c r="K64" s="27">
        <v>1062.53</v>
      </c>
      <c r="L64" s="27">
        <v>8.86</v>
      </c>
      <c r="M64" s="27">
        <v>75.72</v>
      </c>
      <c r="N64" s="19" t="s">
        <v>21</v>
      </c>
      <c r="O64" s="17">
        <f t="shared" si="21"/>
        <v>99.102758434052632</v>
      </c>
      <c r="P64" s="19" t="s">
        <v>21</v>
      </c>
      <c r="Q64" s="17">
        <f t="shared" si="23"/>
        <v>116.17349284966234</v>
      </c>
      <c r="R64" s="19" t="s">
        <v>21</v>
      </c>
      <c r="S64" s="17">
        <f t="shared" si="25"/>
        <v>0.96872290349261503</v>
      </c>
      <c r="T64" s="17">
        <f t="shared" si="26"/>
        <v>8.2789727147246968</v>
      </c>
      <c r="U64" s="19" t="s">
        <v>21</v>
      </c>
      <c r="V64" s="17">
        <f t="shared" si="28"/>
        <v>4.9611671178525993</v>
      </c>
      <c r="W64" s="19" t="s">
        <v>21</v>
      </c>
      <c r="X64" s="17">
        <f t="shared" si="30"/>
        <v>5.8157423849646097</v>
      </c>
      <c r="Y64" s="19" t="s">
        <v>21</v>
      </c>
      <c r="Z64" s="17">
        <f t="shared" si="32"/>
        <v>4.849508016788838E-2</v>
      </c>
      <c r="AA64" s="17">
        <f t="shared" si="33"/>
        <v>0.41445231041901898</v>
      </c>
      <c r="AB64" s="24" t="s">
        <v>82</v>
      </c>
    </row>
    <row r="65" spans="1:28">
      <c r="A65" s="2">
        <f t="shared" si="35"/>
        <v>55</v>
      </c>
      <c r="B65" s="43">
        <v>42137.364583333336</v>
      </c>
      <c r="C65" s="43">
        <v>42143.385416666664</v>
      </c>
      <c r="D65" s="28">
        <v>3.0649999999999999</v>
      </c>
      <c r="E65" s="17">
        <f>120/824</f>
        <v>0.14563106796116504</v>
      </c>
      <c r="F65" s="2" t="s">
        <v>66</v>
      </c>
      <c r="G65" s="16" t="s">
        <v>20</v>
      </c>
      <c r="H65" s="23">
        <v>4.8788999999999999E-2</v>
      </c>
      <c r="I65" s="27">
        <v>48.13</v>
      </c>
      <c r="J65" s="27">
        <v>92.91</v>
      </c>
      <c r="K65" s="27">
        <v>102.07</v>
      </c>
      <c r="L65" s="27">
        <v>2.27</v>
      </c>
      <c r="M65" s="27">
        <v>2.82</v>
      </c>
      <c r="N65" s="17">
        <f t="shared" si="20"/>
        <v>30.236006066941322</v>
      </c>
      <c r="O65" s="17">
        <f t="shared" si="21"/>
        <v>58.367490622886301</v>
      </c>
      <c r="P65" s="15">
        <f t="shared" si="22"/>
        <v>88.603496689827622</v>
      </c>
      <c r="Q65" s="17">
        <f t="shared" si="23"/>
        <v>64.121943470864338</v>
      </c>
      <c r="R65" s="17">
        <f t="shared" si="24"/>
        <v>94.357949537805666</v>
      </c>
      <c r="S65" s="17">
        <f t="shared" si="25"/>
        <v>1.4260489044661708</v>
      </c>
      <c r="T65" s="17">
        <f t="shared" si="26"/>
        <v>1.771567361495419</v>
      </c>
      <c r="U65" s="17">
        <f t="shared" si="27"/>
        <v>5.0218972014337462</v>
      </c>
      <c r="V65" s="17">
        <f t="shared" si="28"/>
        <v>9.694254497926643</v>
      </c>
      <c r="W65" s="17">
        <f t="shared" si="29"/>
        <v>14.716151699360388</v>
      </c>
      <c r="X65" s="17">
        <f t="shared" si="30"/>
        <v>10.650011372332068</v>
      </c>
      <c r="Y65" s="17">
        <f t="shared" si="31"/>
        <v>15.671908573765815</v>
      </c>
      <c r="Z65" s="17">
        <f t="shared" si="32"/>
        <v>0.23685241319872438</v>
      </c>
      <c r="AA65" s="17">
        <f t="shared" si="33"/>
        <v>0.2942395617711025</v>
      </c>
    </row>
    <row r="66" spans="1:28">
      <c r="A66" s="2"/>
      <c r="B66" s="43">
        <v>42143.385416666664</v>
      </c>
      <c r="C66" s="43">
        <v>42170.406944444447</v>
      </c>
      <c r="D66" s="27" t="s">
        <v>54</v>
      </c>
      <c r="E66" s="27" t="s">
        <v>54</v>
      </c>
      <c r="F66" s="2"/>
      <c r="G66" s="16" t="s">
        <v>20</v>
      </c>
      <c r="H66" s="23"/>
      <c r="I66" s="27" t="s">
        <v>112</v>
      </c>
      <c r="J66" s="27" t="s">
        <v>112</v>
      </c>
      <c r="K66" s="27" t="s">
        <v>112</v>
      </c>
      <c r="L66" s="27" t="s">
        <v>112</v>
      </c>
      <c r="M66" s="27" t="s">
        <v>112</v>
      </c>
      <c r="N66" s="27" t="s">
        <v>112</v>
      </c>
      <c r="O66" s="27" t="s">
        <v>112</v>
      </c>
      <c r="P66" s="27" t="s">
        <v>112</v>
      </c>
      <c r="Q66" s="27" t="s">
        <v>112</v>
      </c>
      <c r="R66" s="27" t="s">
        <v>112</v>
      </c>
      <c r="S66" s="27" t="s">
        <v>112</v>
      </c>
      <c r="T66" s="27" t="s">
        <v>112</v>
      </c>
      <c r="U66" s="27" t="s">
        <v>112</v>
      </c>
      <c r="V66" s="27" t="s">
        <v>112</v>
      </c>
      <c r="W66" s="27" t="s">
        <v>112</v>
      </c>
      <c r="X66" s="27" t="s">
        <v>112</v>
      </c>
      <c r="Y66" s="27" t="s">
        <v>112</v>
      </c>
      <c r="Z66" s="27" t="s">
        <v>112</v>
      </c>
      <c r="AA66" s="27" t="s">
        <v>112</v>
      </c>
      <c r="AB66" s="24" t="s">
        <v>132</v>
      </c>
    </row>
    <row r="67" spans="1:28">
      <c r="A67" s="2"/>
      <c r="B67" s="43">
        <v>42170.406944444447</v>
      </c>
      <c r="C67" s="43">
        <v>42181.46875</v>
      </c>
      <c r="D67" s="27" t="s">
        <v>54</v>
      </c>
      <c r="E67" s="27" t="s">
        <v>54</v>
      </c>
      <c r="F67" s="2"/>
      <c r="G67" s="16" t="s">
        <v>20</v>
      </c>
      <c r="H67" s="23"/>
      <c r="I67" s="27" t="s">
        <v>112</v>
      </c>
      <c r="J67" s="27" t="s">
        <v>112</v>
      </c>
      <c r="K67" s="27" t="s">
        <v>112</v>
      </c>
      <c r="L67" s="27" t="s">
        <v>112</v>
      </c>
      <c r="M67" s="27" t="s">
        <v>112</v>
      </c>
      <c r="N67" s="27" t="s">
        <v>112</v>
      </c>
      <c r="O67" s="27" t="s">
        <v>112</v>
      </c>
      <c r="P67" s="27" t="s">
        <v>112</v>
      </c>
      <c r="Q67" s="27" t="s">
        <v>112</v>
      </c>
      <c r="R67" s="27" t="s">
        <v>112</v>
      </c>
      <c r="S67" s="27" t="s">
        <v>112</v>
      </c>
      <c r="T67" s="27" t="s">
        <v>112</v>
      </c>
      <c r="U67" s="27" t="s">
        <v>112</v>
      </c>
      <c r="V67" s="27" t="s">
        <v>112</v>
      </c>
      <c r="W67" s="27" t="s">
        <v>112</v>
      </c>
      <c r="X67" s="27" t="s">
        <v>112</v>
      </c>
      <c r="Y67" s="27" t="s">
        <v>112</v>
      </c>
      <c r="Z67" s="27" t="s">
        <v>112</v>
      </c>
      <c r="AA67" s="27" t="s">
        <v>112</v>
      </c>
      <c r="AB67" s="24" t="s">
        <v>83</v>
      </c>
    </row>
    <row r="68" spans="1:28" s="32" customFormat="1">
      <c r="A68" s="38">
        <v>56</v>
      </c>
      <c r="B68" s="45">
        <v>42181.46875</v>
      </c>
      <c r="C68" s="45">
        <v>42192.486805555556</v>
      </c>
      <c r="D68" s="29">
        <v>1.1819999999999999</v>
      </c>
      <c r="E68" s="14">
        <f>62/824</f>
        <v>7.5242718446601936E-2</v>
      </c>
      <c r="F68" s="38" t="s">
        <v>66</v>
      </c>
      <c r="G68" s="13" t="s">
        <v>20</v>
      </c>
      <c r="H68" s="25">
        <v>4.5730311361774995E-2</v>
      </c>
      <c r="I68" s="30">
        <v>229.79</v>
      </c>
      <c r="J68" s="30">
        <v>116.34</v>
      </c>
      <c r="K68" s="30">
        <v>521.96</v>
      </c>
      <c r="L68" s="30">
        <v>2.27</v>
      </c>
      <c r="M68" s="30">
        <v>37.46</v>
      </c>
      <c r="N68" s="14">
        <f t="shared" ref="N68" si="36">$D68*I68/($H68*100)</f>
        <v>59.394255563069379</v>
      </c>
      <c r="O68" s="14">
        <f t="shared" ref="O68" si="37">$D68*J68/($H68*100)</f>
        <v>30.07061966233297</v>
      </c>
      <c r="P68" s="22">
        <f t="shared" ref="P68" si="38">N68+O68</f>
        <v>89.464875225402352</v>
      </c>
      <c r="Q68" s="14">
        <f t="shared" ref="Q68" si="39">$D68*K68/($H68*100)</f>
        <v>134.91198761347187</v>
      </c>
      <c r="R68" s="14">
        <f t="shared" ref="R68" si="40">Q68+N68</f>
        <v>194.30624317654124</v>
      </c>
      <c r="S68" s="14">
        <f t="shared" ref="S68" si="41">$D68*L68/($H68*100)</f>
        <v>0.5867311899045542</v>
      </c>
      <c r="T68" s="14">
        <f t="shared" ref="T68" si="42">$D68*M68/($H68*100)</f>
        <v>9.6823569928742739</v>
      </c>
      <c r="U68" s="14">
        <f t="shared" ref="U68" si="43">N68/($C68-$B68)</f>
        <v>5.3906295229304728</v>
      </c>
      <c r="V68" s="14">
        <f t="shared" ref="V68" si="44">O68/($C68-$B68)</f>
        <v>2.7292129278808104</v>
      </c>
      <c r="W68" s="14">
        <f t="shared" ref="W68" si="45">P68/($C68-$B68)</f>
        <v>8.1198424508112836</v>
      </c>
      <c r="X68" s="14">
        <f t="shared" ref="X68" si="46">Q68/($C68-$B68)</f>
        <v>12.244627641711086</v>
      </c>
      <c r="Y68" s="14">
        <f t="shared" ref="Y68" si="47">R68/($C68-$B68)</f>
        <v>17.635257164641558</v>
      </c>
      <c r="Z68" s="14">
        <f t="shared" ref="Z68" si="48">S68/($C68-$B68)</f>
        <v>5.3251790839689173E-2</v>
      </c>
      <c r="AA68" s="14">
        <f t="shared" ref="AA68" si="49">T68/($C68-$B68)</f>
        <v>0.87877184354835092</v>
      </c>
      <c r="AB68" s="32" t="s">
        <v>84</v>
      </c>
    </row>
    <row r="69" spans="1:28">
      <c r="A69" s="2">
        <v>57</v>
      </c>
      <c r="B69" s="43">
        <v>42192.486805555556</v>
      </c>
      <c r="C69" s="43">
        <v>42200.547222222223</v>
      </c>
      <c r="D69" s="28">
        <v>0.88</v>
      </c>
      <c r="E69" s="17">
        <v>0</v>
      </c>
      <c r="F69" s="2" t="s">
        <v>19</v>
      </c>
      <c r="G69" s="16" t="s">
        <v>20</v>
      </c>
      <c r="H69" s="23">
        <v>4.8788999999999999E-2</v>
      </c>
      <c r="I69" s="27">
        <v>141.49</v>
      </c>
      <c r="J69" s="27">
        <v>292.33999999999997</v>
      </c>
      <c r="K69" s="27">
        <v>745.27</v>
      </c>
      <c r="L69" s="27">
        <v>11.14</v>
      </c>
      <c r="M69" s="27">
        <v>15.42</v>
      </c>
      <c r="N69" s="17">
        <f t="shared" ref="N69:N112" si="50">$D69*I69/($H69*100)</f>
        <v>25.520342700198817</v>
      </c>
      <c r="O69" s="17">
        <f t="shared" ref="O69:O111" si="51">$D69*J69/($H69*100)</f>
        <v>52.728934800877241</v>
      </c>
      <c r="P69" s="15">
        <f t="shared" ref="P69:P111" si="52">N69+O69</f>
        <v>78.249277501076051</v>
      </c>
      <c r="Q69" s="17">
        <f t="shared" ref="Q69:Q112" si="53">$D69*K69/($H69*100)</f>
        <v>134.42325114267561</v>
      </c>
      <c r="R69" s="17">
        <f t="shared" ref="R69:R112" si="54">Q69+N69</f>
        <v>159.94359384287444</v>
      </c>
      <c r="S69" s="17">
        <f t="shared" ref="S69:S112" si="55">$D69*L69/($H69*100)</f>
        <v>2.0093053762118513</v>
      </c>
      <c r="T69" s="17">
        <f t="shared" ref="T69:T112" si="56">$D69*M69/($H69*100)</f>
        <v>2.7812826661747527</v>
      </c>
      <c r="U69" s="17">
        <f t="shared" ref="U69:U112" si="57">N69/($C69-$B69)</f>
        <v>3.1661319452299548</v>
      </c>
      <c r="V69" s="17">
        <f t="shared" ref="V69:V111" si="58">O69/($C69-$B69)</f>
        <v>6.5417132862288838</v>
      </c>
      <c r="W69" s="17">
        <f t="shared" ref="W69:W111" si="59">P69/($C69-$B69)</f>
        <v>9.7078452314588386</v>
      </c>
      <c r="X69" s="17">
        <f t="shared" ref="X69:X112" si="60">Q69/($C69-$B69)</f>
        <v>16.676960596660741</v>
      </c>
      <c r="Y69" s="17">
        <f t="shared" ref="Y69:Y112" si="61">R69/($C69-$B69)</f>
        <v>19.843092541890698</v>
      </c>
      <c r="Z69" s="17">
        <f t="shared" ref="Z69:Z112" si="62">S69/($C69-$B69)</f>
        <v>0.24928058428059721</v>
      </c>
      <c r="AA69" s="17">
        <f t="shared" ref="AA69:AA112" si="63">T69/($C69-$B69)</f>
        <v>0.34505445328606899</v>
      </c>
      <c r="AB69" s="24" t="s">
        <v>85</v>
      </c>
    </row>
    <row r="70" spans="1:28">
      <c r="A70" s="2">
        <v>58</v>
      </c>
      <c r="B70" s="43">
        <v>42200.547222222223</v>
      </c>
      <c r="C70" s="43">
        <v>42209.583333333336</v>
      </c>
      <c r="D70" s="28">
        <v>1.08</v>
      </c>
      <c r="E70" s="17">
        <f>34/824</f>
        <v>4.12621359223301E-2</v>
      </c>
      <c r="F70" s="2" t="s">
        <v>66</v>
      </c>
      <c r="G70" s="16" t="s">
        <v>20</v>
      </c>
      <c r="H70" s="23">
        <v>4.5730311361774995E-2</v>
      </c>
      <c r="I70" s="27">
        <v>176.26</v>
      </c>
      <c r="J70" s="27">
        <v>191.83</v>
      </c>
      <c r="K70" s="27">
        <v>311.54000000000002</v>
      </c>
      <c r="L70" s="27">
        <v>1.36</v>
      </c>
      <c r="M70" s="27">
        <v>6.88</v>
      </c>
      <c r="N70" s="17">
        <f t="shared" si="50"/>
        <v>41.626832254441766</v>
      </c>
      <c r="O70" s="17">
        <f t="shared" si="51"/>
        <v>45.303955698227412</v>
      </c>
      <c r="P70" s="15">
        <f t="shared" si="52"/>
        <v>86.930787952669178</v>
      </c>
      <c r="Q70" s="17">
        <f t="shared" si="53"/>
        <v>73.575532284969853</v>
      </c>
      <c r="R70" s="17">
        <f t="shared" si="54"/>
        <v>115.20236453941162</v>
      </c>
      <c r="S70" s="17">
        <f t="shared" si="55"/>
        <v>0.3211874042099217</v>
      </c>
      <c r="T70" s="17">
        <f t="shared" si="56"/>
        <v>1.6248303977678391</v>
      </c>
      <c r="U70" s="17">
        <f t="shared" si="57"/>
        <v>4.6067198314161972</v>
      </c>
      <c r="V70" s="17">
        <f t="shared" si="58"/>
        <v>5.0136563330339792</v>
      </c>
      <c r="W70" s="17">
        <f t="shared" si="59"/>
        <v>9.6203761644501764</v>
      </c>
      <c r="X70" s="17">
        <f t="shared" si="60"/>
        <v>8.1423890631986957</v>
      </c>
      <c r="Y70" s="17">
        <f t="shared" si="61"/>
        <v>12.749108894614892</v>
      </c>
      <c r="Z70" s="17">
        <f t="shared" si="62"/>
        <v>3.5544871046896791E-2</v>
      </c>
      <c r="AA70" s="17">
        <f t="shared" si="63"/>
        <v>0.17981523000194846</v>
      </c>
    </row>
    <row r="71" spans="1:28">
      <c r="A71" s="2">
        <v>59</v>
      </c>
      <c r="B71" s="43">
        <v>42241.520833333336</v>
      </c>
      <c r="C71" s="43">
        <v>42248.371527777781</v>
      </c>
      <c r="D71" s="28">
        <v>1.145</v>
      </c>
      <c r="E71" s="17">
        <v>0</v>
      </c>
      <c r="F71" s="2" t="s">
        <v>19</v>
      </c>
      <c r="G71" s="16" t="s">
        <v>20</v>
      </c>
      <c r="H71" s="23">
        <v>4.5730311361774995E-2</v>
      </c>
      <c r="I71" s="27">
        <v>99.69</v>
      </c>
      <c r="J71" s="27">
        <v>145.79</v>
      </c>
      <c r="K71" s="27">
        <v>526.74</v>
      </c>
      <c r="L71" s="27">
        <v>0.68</v>
      </c>
      <c r="M71" s="27">
        <v>2.4900000000000002</v>
      </c>
      <c r="N71" s="17">
        <f t="shared" si="50"/>
        <v>24.96047951587127</v>
      </c>
      <c r="O71" s="17">
        <f t="shared" si="51"/>
        <v>36.503042517994508</v>
      </c>
      <c r="P71" s="15">
        <f t="shared" si="52"/>
        <v>61.463522033865779</v>
      </c>
      <c r="Q71" s="17">
        <f t="shared" si="53"/>
        <v>131.88567539562678</v>
      </c>
      <c r="R71" s="17">
        <f t="shared" si="54"/>
        <v>156.84615491149805</v>
      </c>
      <c r="S71" s="17">
        <f t="shared" si="55"/>
        <v>0.17025906380572239</v>
      </c>
      <c r="T71" s="17">
        <f t="shared" si="56"/>
        <v>0.62344863070036582</v>
      </c>
      <c r="U71" s="17">
        <f t="shared" si="57"/>
        <v>3.6434962496553864</v>
      </c>
      <c r="V71" s="17">
        <f t="shared" si="58"/>
        <v>5.3283711328845298</v>
      </c>
      <c r="W71" s="17">
        <f t="shared" si="59"/>
        <v>8.9718673825399158</v>
      </c>
      <c r="X71" s="17">
        <f t="shared" si="60"/>
        <v>19.251431583343148</v>
      </c>
      <c r="Y71" s="17">
        <f t="shared" si="61"/>
        <v>22.894927832998533</v>
      </c>
      <c r="Z71" s="17">
        <f t="shared" si="62"/>
        <v>2.4852818234182596E-2</v>
      </c>
      <c r="AA71" s="17">
        <f t="shared" si="63"/>
        <v>9.100517265163921E-2</v>
      </c>
      <c r="AB71" s="24" t="s">
        <v>86</v>
      </c>
    </row>
    <row r="72" spans="1:28">
      <c r="A72" s="2">
        <v>60</v>
      </c>
      <c r="B72" s="43">
        <v>42248.371527777781</v>
      </c>
      <c r="C72" s="43">
        <v>42268.552083333336</v>
      </c>
      <c r="D72" s="28">
        <v>0.5</v>
      </c>
      <c r="E72" s="17">
        <v>0</v>
      </c>
      <c r="F72" s="2" t="s">
        <v>19</v>
      </c>
      <c r="G72" s="16" t="s">
        <v>20</v>
      </c>
      <c r="H72" s="23">
        <v>4.8788999999999999E-2</v>
      </c>
      <c r="I72" s="27">
        <v>315.55</v>
      </c>
      <c r="J72" s="27">
        <v>163.88</v>
      </c>
      <c r="K72" s="27">
        <v>682.02</v>
      </c>
      <c r="L72" s="27">
        <v>18.37</v>
      </c>
      <c r="M72" s="27">
        <v>59.86</v>
      </c>
      <c r="N72" s="17" t="s">
        <v>111</v>
      </c>
      <c r="O72" s="17" t="s">
        <v>111</v>
      </c>
      <c r="P72" s="17" t="s">
        <v>111</v>
      </c>
      <c r="Q72" s="17" t="s">
        <v>111</v>
      </c>
      <c r="R72" s="17" t="s">
        <v>111</v>
      </c>
      <c r="S72" s="17" t="s">
        <v>111</v>
      </c>
      <c r="T72" s="17" t="s">
        <v>111</v>
      </c>
      <c r="U72" s="17" t="s">
        <v>111</v>
      </c>
      <c r="V72" s="17" t="s">
        <v>111</v>
      </c>
      <c r="W72" s="17" t="s">
        <v>111</v>
      </c>
      <c r="X72" s="17" t="s">
        <v>111</v>
      </c>
      <c r="Y72" s="17" t="s">
        <v>111</v>
      </c>
      <c r="Z72" s="17" t="s">
        <v>111</v>
      </c>
      <c r="AA72" s="17" t="s">
        <v>111</v>
      </c>
      <c r="AB72" s="24" t="s">
        <v>91</v>
      </c>
    </row>
    <row r="73" spans="1:28" s="44" customFormat="1">
      <c r="A73" s="42">
        <v>61</v>
      </c>
      <c r="B73" s="43">
        <v>42268.552083333336</v>
      </c>
      <c r="C73" s="43">
        <v>42283.387499999997</v>
      </c>
      <c r="D73" s="28">
        <v>1.5049999999999999</v>
      </c>
      <c r="E73" s="19" t="s">
        <v>21</v>
      </c>
      <c r="F73" s="42" t="s">
        <v>62</v>
      </c>
      <c r="G73" s="20" t="s">
        <v>20</v>
      </c>
      <c r="H73" s="26">
        <v>4.5730311361774995E-2</v>
      </c>
      <c r="I73" s="27">
        <v>169.35</v>
      </c>
      <c r="J73" s="27">
        <v>266.70999999999998</v>
      </c>
      <c r="K73" s="27">
        <v>763.36</v>
      </c>
      <c r="L73" s="27">
        <v>1.1499999999999999</v>
      </c>
      <c r="M73" s="27">
        <v>6.3</v>
      </c>
      <c r="N73" s="19">
        <f t="shared" si="50"/>
        <v>55.73365726371194</v>
      </c>
      <c r="O73" s="19">
        <f t="shared" si="51"/>
        <v>87.775162260434669</v>
      </c>
      <c r="P73" s="166">
        <f t="shared" si="52"/>
        <v>143.50881952414662</v>
      </c>
      <c r="Q73" s="19">
        <f t="shared" si="53"/>
        <v>251.22435552894686</v>
      </c>
      <c r="R73" s="19">
        <f t="shared" si="54"/>
        <v>306.95801279265879</v>
      </c>
      <c r="S73" s="19">
        <f t="shared" si="55"/>
        <v>0.3784688860541407</v>
      </c>
      <c r="T73" s="19">
        <f t="shared" si="56"/>
        <v>2.0733512888183361</v>
      </c>
      <c r="U73" s="19">
        <f t="shared" si="57"/>
        <v>3.7567975686829591</v>
      </c>
      <c r="V73" s="19">
        <f t="shared" si="58"/>
        <v>5.9165956867046479</v>
      </c>
      <c r="W73" s="19">
        <f t="shared" si="59"/>
        <v>9.673393255387607</v>
      </c>
      <c r="X73" s="19">
        <f t="shared" si="60"/>
        <v>16.9340950223196</v>
      </c>
      <c r="Y73" s="19">
        <f t="shared" si="61"/>
        <v>20.690892591002559</v>
      </c>
      <c r="Z73" s="19">
        <f t="shared" si="62"/>
        <v>2.551117333324714E-2</v>
      </c>
      <c r="AA73" s="19">
        <f t="shared" si="63"/>
        <v>0.13975686260822345</v>
      </c>
      <c r="AB73" s="44" t="s">
        <v>106</v>
      </c>
    </row>
    <row r="74" spans="1:28">
      <c r="A74" s="2">
        <v>62</v>
      </c>
      <c r="B74" s="43">
        <v>42283.387499999997</v>
      </c>
      <c r="C74" s="43">
        <v>42299.404166666667</v>
      </c>
      <c r="D74" s="28">
        <v>2.0870000000000002</v>
      </c>
      <c r="E74" s="17" t="s">
        <v>21</v>
      </c>
      <c r="F74" s="2" t="s">
        <v>62</v>
      </c>
      <c r="G74" s="16" t="s">
        <v>20</v>
      </c>
      <c r="H74" s="23">
        <v>4.8788999999999999E-2</v>
      </c>
      <c r="I74" s="27">
        <v>158.93</v>
      </c>
      <c r="J74" s="27">
        <v>279.19</v>
      </c>
      <c r="K74" s="27">
        <v>348.63</v>
      </c>
      <c r="L74" s="27">
        <v>1.1399999999999999</v>
      </c>
      <c r="M74" s="27">
        <v>8.4600000000000009</v>
      </c>
      <c r="N74" s="17">
        <f t="shared" si="50"/>
        <v>67.983953350140411</v>
      </c>
      <c r="O74" s="17">
        <f t="shared" si="51"/>
        <v>119.42641374080223</v>
      </c>
      <c r="P74" s="15">
        <f t="shared" si="52"/>
        <v>187.41036709094266</v>
      </c>
      <c r="Q74" s="17">
        <f t="shared" si="53"/>
        <v>149.13009284879789</v>
      </c>
      <c r="R74" s="17">
        <f t="shared" si="54"/>
        <v>217.1140461989383</v>
      </c>
      <c r="S74" s="17">
        <f t="shared" si="55"/>
        <v>0.48764680563241714</v>
      </c>
      <c r="T74" s="17">
        <f t="shared" si="56"/>
        <v>3.6188526102195171</v>
      </c>
      <c r="U74" s="17">
        <f t="shared" si="57"/>
        <v>4.2445756514126538</v>
      </c>
      <c r="V74" s="17">
        <f t="shared" si="58"/>
        <v>7.4563837923481948</v>
      </c>
      <c r="W74" s="17">
        <f t="shared" si="59"/>
        <v>11.70095944376085</v>
      </c>
      <c r="X74" s="17">
        <f t="shared" si="60"/>
        <v>9.3109319156357717</v>
      </c>
      <c r="Y74" s="17">
        <f t="shared" si="61"/>
        <v>13.555507567048425</v>
      </c>
      <c r="Z74" s="17">
        <f t="shared" si="62"/>
        <v>3.0446210549364021E-2</v>
      </c>
      <c r="AA74" s="17">
        <f t="shared" si="63"/>
        <v>0.22594293091896461</v>
      </c>
    </row>
    <row r="75" spans="1:28">
      <c r="A75" s="2">
        <v>63</v>
      </c>
      <c r="B75" s="43">
        <v>42299.404166666667</v>
      </c>
      <c r="C75" s="43">
        <v>42313.380555555559</v>
      </c>
      <c r="D75" s="28">
        <v>2.2690000000000001</v>
      </c>
      <c r="E75" s="17" t="s">
        <v>21</v>
      </c>
      <c r="F75" s="2" t="s">
        <v>66</v>
      </c>
      <c r="G75" s="16" t="s">
        <v>20</v>
      </c>
      <c r="H75" s="23">
        <v>4.5730311361774995E-2</v>
      </c>
      <c r="I75" s="27">
        <v>90</v>
      </c>
      <c r="J75" s="27">
        <v>98.17</v>
      </c>
      <c r="K75" s="27">
        <v>1119.56</v>
      </c>
      <c r="L75" s="27">
        <v>0.46</v>
      </c>
      <c r="M75" s="27">
        <v>4.07</v>
      </c>
      <c r="N75" s="17">
        <f t="shared" si="50"/>
        <v>44.655283097568159</v>
      </c>
      <c r="O75" s="17">
        <f t="shared" si="51"/>
        <v>48.708990463202959</v>
      </c>
      <c r="P75" s="15">
        <f t="shared" si="52"/>
        <v>93.364273560771124</v>
      </c>
      <c r="Q75" s="17">
        <f t="shared" si="53"/>
        <v>555.49187494126011</v>
      </c>
      <c r="R75" s="17">
        <f t="shared" si="54"/>
        <v>600.14715803882825</v>
      </c>
      <c r="S75" s="17">
        <f t="shared" si="55"/>
        <v>0.22823811360979282</v>
      </c>
      <c r="T75" s="17">
        <f t="shared" si="56"/>
        <v>2.0194111356344711</v>
      </c>
      <c r="U75" s="17">
        <f t="shared" si="57"/>
        <v>3.1950515582074934</v>
      </c>
      <c r="V75" s="17">
        <f t="shared" si="58"/>
        <v>3.4850912385469961</v>
      </c>
      <c r="W75" s="17">
        <f t="shared" si="59"/>
        <v>6.68014279675449</v>
      </c>
      <c r="X75" s="17">
        <f t="shared" si="60"/>
        <v>39.74502136118646</v>
      </c>
      <c r="Y75" s="17">
        <f t="shared" si="61"/>
        <v>42.940072919393955</v>
      </c>
      <c r="Z75" s="17">
        <f t="shared" si="62"/>
        <v>1.6330263519727189E-2</v>
      </c>
      <c r="AA75" s="17">
        <f t="shared" si="63"/>
        <v>0.14448733157671664</v>
      </c>
    </row>
    <row r="76" spans="1:28">
      <c r="A76" s="2">
        <v>64</v>
      </c>
      <c r="B76" s="43">
        <v>42313.380555555559</v>
      </c>
      <c r="C76" s="43">
        <v>42325.347222222219</v>
      </c>
      <c r="D76" s="28">
        <v>1.415</v>
      </c>
      <c r="E76" s="17" t="s">
        <v>21</v>
      </c>
      <c r="F76" s="2" t="s">
        <v>66</v>
      </c>
      <c r="G76" s="16" t="s">
        <v>20</v>
      </c>
      <c r="H76" s="23">
        <v>4.8788999999999999E-2</v>
      </c>
      <c r="I76" s="27">
        <v>69.569999999999993</v>
      </c>
      <c r="J76" s="27">
        <v>74.12</v>
      </c>
      <c r="K76" s="27">
        <v>81.56</v>
      </c>
      <c r="L76" s="27">
        <v>1.1399999999999999</v>
      </c>
      <c r="M76" s="27">
        <v>5.28</v>
      </c>
      <c r="N76" s="17">
        <f t="shared" si="50"/>
        <v>20.176996864047222</v>
      </c>
      <c r="O76" s="17">
        <f t="shared" si="51"/>
        <v>21.496607841931585</v>
      </c>
      <c r="P76" s="15">
        <f t="shared" si="52"/>
        <v>41.673604705978804</v>
      </c>
      <c r="Q76" s="17">
        <f t="shared" si="53"/>
        <v>23.654389309065571</v>
      </c>
      <c r="R76" s="17">
        <f t="shared" si="54"/>
        <v>43.83138617311279</v>
      </c>
      <c r="S76" s="17">
        <f t="shared" si="55"/>
        <v>0.33062780544794934</v>
      </c>
      <c r="T76" s="17">
        <f t="shared" si="56"/>
        <v>1.5313287831273446</v>
      </c>
      <c r="U76" s="17">
        <f t="shared" si="57"/>
        <v>1.6861000164951536</v>
      </c>
      <c r="V76" s="17">
        <f t="shared" si="58"/>
        <v>1.7963739143685613</v>
      </c>
      <c r="W76" s="17">
        <f t="shared" si="59"/>
        <v>3.4824739308637147</v>
      </c>
      <c r="X76" s="17">
        <f t="shared" si="60"/>
        <v>1.9766899144077155</v>
      </c>
      <c r="Y76" s="17">
        <f t="shared" si="61"/>
        <v>3.6627899309028686</v>
      </c>
      <c r="Z76" s="17">
        <f t="shared" si="62"/>
        <v>2.7629064522128436E-2</v>
      </c>
      <c r="AA76" s="17">
        <f t="shared" si="63"/>
        <v>0.12796619357617384</v>
      </c>
    </row>
    <row r="77" spans="1:28">
      <c r="A77" s="2">
        <v>65</v>
      </c>
      <c r="B77" s="43">
        <v>42325.347222222219</v>
      </c>
      <c r="C77" s="43">
        <v>42339.446527777778</v>
      </c>
      <c r="D77" s="28">
        <v>1.75</v>
      </c>
      <c r="E77" s="17" t="s">
        <v>21</v>
      </c>
      <c r="F77" s="2" t="s">
        <v>66</v>
      </c>
      <c r="G77" s="16" t="s">
        <v>20</v>
      </c>
      <c r="H77" s="23">
        <v>4.5730311361774995E-2</v>
      </c>
      <c r="I77" s="27">
        <v>54.35</v>
      </c>
      <c r="J77" s="27">
        <v>93.15</v>
      </c>
      <c r="K77" s="27">
        <v>114.4</v>
      </c>
      <c r="L77" s="27">
        <v>1.1399999999999999</v>
      </c>
      <c r="M77" s="27">
        <v>6.53</v>
      </c>
      <c r="N77" s="17">
        <f t="shared" si="50"/>
        <v>20.798568207323104</v>
      </c>
      <c r="O77" s="17">
        <f t="shared" si="51"/>
        <v>35.646488105099309</v>
      </c>
      <c r="P77" s="15">
        <f t="shared" si="52"/>
        <v>56.445056312422409</v>
      </c>
      <c r="Q77" s="17">
        <f t="shared" si="53"/>
        <v>43.778402997566943</v>
      </c>
      <c r="R77" s="17">
        <f t="shared" si="54"/>
        <v>64.576971204890043</v>
      </c>
      <c r="S77" s="17">
        <f t="shared" si="55"/>
        <v>0.43625331658414607</v>
      </c>
      <c r="T77" s="17">
        <f t="shared" si="56"/>
        <v>2.4988896116618191</v>
      </c>
      <c r="U77" s="17">
        <f t="shared" si="57"/>
        <v>1.4751484124778462</v>
      </c>
      <c r="V77" s="17">
        <f t="shared" si="58"/>
        <v>2.5282442432807986</v>
      </c>
      <c r="W77" s="17">
        <f t="shared" si="59"/>
        <v>4.0033926557586446</v>
      </c>
      <c r="X77" s="17">
        <f t="shared" si="60"/>
        <v>3.1050042021612811</v>
      </c>
      <c r="Y77" s="17">
        <f t="shared" si="61"/>
        <v>4.5801526146391272</v>
      </c>
      <c r="Z77" s="17">
        <f t="shared" si="62"/>
        <v>3.0941475441117659E-2</v>
      </c>
      <c r="AA77" s="17">
        <f t="shared" si="63"/>
        <v>0.17723494265833187</v>
      </c>
    </row>
    <row r="78" spans="1:28">
      <c r="A78" s="2">
        <v>66</v>
      </c>
      <c r="B78" s="43">
        <v>42339.446527777778</v>
      </c>
      <c r="C78" s="43">
        <v>42346.541666666664</v>
      </c>
      <c r="D78" s="28">
        <v>1.605</v>
      </c>
      <c r="E78" s="17" t="s">
        <v>21</v>
      </c>
      <c r="F78" s="2" t="s">
        <v>66</v>
      </c>
      <c r="G78" s="16" t="s">
        <v>20</v>
      </c>
      <c r="H78" s="23">
        <v>4.8788999999999999E-2</v>
      </c>
      <c r="I78" s="27">
        <v>25</v>
      </c>
      <c r="J78" s="27">
        <v>14.33</v>
      </c>
      <c r="K78" s="27">
        <v>35.03</v>
      </c>
      <c r="L78" s="27">
        <v>0</v>
      </c>
      <c r="M78" s="27">
        <v>6.85</v>
      </c>
      <c r="N78" s="17">
        <f t="shared" si="50"/>
        <v>8.2241898788661381</v>
      </c>
      <c r="O78" s="17">
        <f t="shared" si="51"/>
        <v>4.7141056385660702</v>
      </c>
      <c r="P78" s="15">
        <f t="shared" si="52"/>
        <v>12.938295517432209</v>
      </c>
      <c r="Q78" s="17">
        <f t="shared" si="53"/>
        <v>11.523734858267234</v>
      </c>
      <c r="R78" s="17">
        <f t="shared" si="54"/>
        <v>19.747924737133374</v>
      </c>
      <c r="S78" s="17">
        <f t="shared" si="55"/>
        <v>0</v>
      </c>
      <c r="T78" s="17">
        <f t="shared" si="56"/>
        <v>2.2534280268093219</v>
      </c>
      <c r="U78" s="17">
        <f t="shared" si="57"/>
        <v>1.159130216851505</v>
      </c>
      <c r="V78" s="17">
        <f t="shared" si="58"/>
        <v>0.66441344029928262</v>
      </c>
      <c r="W78" s="17">
        <f t="shared" si="59"/>
        <v>1.8235436571507877</v>
      </c>
      <c r="X78" s="17">
        <f t="shared" si="60"/>
        <v>1.6241732598523291</v>
      </c>
      <c r="Y78" s="17">
        <f t="shared" si="61"/>
        <v>2.7833034767038343</v>
      </c>
      <c r="Z78" s="17">
        <f t="shared" si="62"/>
        <v>0</v>
      </c>
      <c r="AA78" s="17">
        <f t="shared" si="63"/>
        <v>0.31760167941731238</v>
      </c>
    </row>
    <row r="79" spans="1:28">
      <c r="A79" s="2">
        <v>67</v>
      </c>
      <c r="B79" s="43">
        <v>42346.541666666664</v>
      </c>
      <c r="C79" s="43">
        <v>42354.420138888891</v>
      </c>
      <c r="D79" s="28">
        <v>2.48</v>
      </c>
      <c r="E79" s="17" t="s">
        <v>21</v>
      </c>
      <c r="F79" s="2" t="s">
        <v>19</v>
      </c>
      <c r="G79" s="16" t="s">
        <v>20</v>
      </c>
      <c r="H79" s="23">
        <v>4.5730311361774995E-2</v>
      </c>
      <c r="I79" s="27">
        <v>17.559999999999999</v>
      </c>
      <c r="J79" s="27">
        <v>7.87</v>
      </c>
      <c r="K79" s="27">
        <v>18.440000000000001</v>
      </c>
      <c r="L79" s="27">
        <v>1.1299999999999999</v>
      </c>
      <c r="M79" s="27">
        <v>3.1</v>
      </c>
      <c r="N79" s="17">
        <f t="shared" si="50"/>
        <v>9.5229616206815333</v>
      </c>
      <c r="O79" s="17">
        <f t="shared" si="51"/>
        <v>4.2679788129136496</v>
      </c>
      <c r="P79" s="15">
        <f t="shared" si="52"/>
        <v>13.790940433595182</v>
      </c>
      <c r="Q79" s="17">
        <f t="shared" si="53"/>
        <v>10.000194321490175</v>
      </c>
      <c r="R79" s="17">
        <f t="shared" si="54"/>
        <v>19.523155942171709</v>
      </c>
      <c r="S79" s="17">
        <f t="shared" si="55"/>
        <v>0.61281017262927862</v>
      </c>
      <c r="T79" s="17">
        <f t="shared" si="56"/>
        <v>1.6811606505758971</v>
      </c>
      <c r="U79" s="17">
        <f t="shared" si="57"/>
        <v>1.2087320170801563</v>
      </c>
      <c r="V79" s="17">
        <f t="shared" si="58"/>
        <v>0.54172670697157355</v>
      </c>
      <c r="W79" s="17">
        <f t="shared" si="59"/>
        <v>1.7504587240517298</v>
      </c>
      <c r="X79" s="17">
        <f t="shared" si="60"/>
        <v>1.2693062867288201</v>
      </c>
      <c r="Y79" s="17">
        <f t="shared" si="61"/>
        <v>2.4780383038089764</v>
      </c>
      <c r="Z79" s="17">
        <f t="shared" si="62"/>
        <v>7.7782868980670647E-2</v>
      </c>
      <c r="AA79" s="17">
        <f t="shared" si="63"/>
        <v>0.21338663171688407</v>
      </c>
    </row>
    <row r="80" spans="1:28">
      <c r="A80" s="2">
        <v>68</v>
      </c>
      <c r="B80" s="43">
        <v>42354.420138888891</v>
      </c>
      <c r="C80" s="43">
        <v>42381.534722222219</v>
      </c>
      <c r="D80" s="28">
        <v>1.1870000000000001</v>
      </c>
      <c r="E80" s="17" t="s">
        <v>21</v>
      </c>
      <c r="F80" s="2" t="s">
        <v>64</v>
      </c>
      <c r="G80" s="16" t="s">
        <v>20</v>
      </c>
      <c r="H80" s="23">
        <v>4.8788999999999999E-2</v>
      </c>
      <c r="I80" s="27">
        <v>49.57</v>
      </c>
      <c r="J80" s="27">
        <v>41.8</v>
      </c>
      <c r="K80" s="27">
        <v>126.34</v>
      </c>
      <c r="L80" s="27">
        <v>1.59</v>
      </c>
      <c r="M80" s="27">
        <v>3.72</v>
      </c>
      <c r="N80" s="17">
        <f t="shared" si="50"/>
        <v>12.06001147799709</v>
      </c>
      <c r="O80" s="17">
        <f t="shared" si="51"/>
        <v>10.169628399844227</v>
      </c>
      <c r="P80" s="15">
        <f t="shared" si="52"/>
        <v>22.229639877841315</v>
      </c>
      <c r="Q80" s="17">
        <f t="shared" si="53"/>
        <v>30.737580192256456</v>
      </c>
      <c r="R80" s="17">
        <f t="shared" si="54"/>
        <v>42.797591670253546</v>
      </c>
      <c r="S80" s="17">
        <f t="shared" si="55"/>
        <v>0.38683514726680202</v>
      </c>
      <c r="T80" s="17">
        <f t="shared" si="56"/>
        <v>0.90504826907704627</v>
      </c>
      <c r="U80" s="17">
        <f t="shared" si="57"/>
        <v>0.4447795243518739</v>
      </c>
      <c r="V80" s="17">
        <f t="shared" si="58"/>
        <v>0.37506120875344617</v>
      </c>
      <c r="W80" s="17">
        <f t="shared" si="59"/>
        <v>0.81984073310532002</v>
      </c>
      <c r="X80" s="17">
        <f t="shared" si="60"/>
        <v>1.1336180170791961</v>
      </c>
      <c r="Y80" s="17">
        <f t="shared" si="61"/>
        <v>1.57839754143107</v>
      </c>
      <c r="Z80" s="17">
        <f t="shared" si="62"/>
        <v>1.4266682342535397E-2</v>
      </c>
      <c r="AA80" s="17">
        <f t="shared" si="63"/>
        <v>3.3378653027818665E-2</v>
      </c>
    </row>
    <row r="81" spans="1:28">
      <c r="A81" s="2">
        <v>69</v>
      </c>
      <c r="B81" s="43">
        <v>42381.534722222219</v>
      </c>
      <c r="C81" s="43">
        <v>42389.463888888888</v>
      </c>
      <c r="D81" s="28">
        <v>2.1549999999999998</v>
      </c>
      <c r="E81" s="17" t="s">
        <v>21</v>
      </c>
      <c r="F81" s="2" t="s">
        <v>53</v>
      </c>
      <c r="G81" s="16" t="s">
        <v>20</v>
      </c>
      <c r="H81" s="23">
        <v>4.5730311361774995E-2</v>
      </c>
      <c r="I81" s="27">
        <v>21.65</v>
      </c>
      <c r="J81" s="27">
        <v>7.02</v>
      </c>
      <c r="K81" s="27">
        <v>15.1</v>
      </c>
      <c r="L81" s="27">
        <v>0.46</v>
      </c>
      <c r="M81" s="27">
        <v>3.1</v>
      </c>
      <c r="N81" s="17">
        <f t="shared" si="50"/>
        <v>10.202368759509158</v>
      </c>
      <c r="O81" s="17">
        <f t="shared" si="51"/>
        <v>3.3081121797577038</v>
      </c>
      <c r="P81" s="15">
        <f t="shared" si="52"/>
        <v>13.510480939266861</v>
      </c>
      <c r="Q81" s="17">
        <f t="shared" si="53"/>
        <v>7.1157398738377955</v>
      </c>
      <c r="R81" s="17">
        <f t="shared" si="54"/>
        <v>17.318108633346952</v>
      </c>
      <c r="S81" s="17">
        <f t="shared" si="55"/>
        <v>0.21677088357386665</v>
      </c>
      <c r="T81" s="17">
        <f t="shared" si="56"/>
        <v>1.4608472588673622</v>
      </c>
      <c r="U81" s="17">
        <f t="shared" si="57"/>
        <v>1.2866886506997366</v>
      </c>
      <c r="V81" s="17">
        <f t="shared" si="58"/>
        <v>0.4172080520975589</v>
      </c>
      <c r="W81" s="17">
        <f t="shared" si="59"/>
        <v>1.7038967027972953</v>
      </c>
      <c r="X81" s="17">
        <f t="shared" si="60"/>
        <v>0.89741333143492019</v>
      </c>
      <c r="Y81" s="17">
        <f t="shared" si="61"/>
        <v>2.1841019821346568</v>
      </c>
      <c r="Z81" s="17">
        <f t="shared" si="62"/>
        <v>2.7338419368216113E-2</v>
      </c>
      <c r="AA81" s="17">
        <f t="shared" si="63"/>
        <v>0.18423717400319556</v>
      </c>
    </row>
    <row r="82" spans="1:28">
      <c r="A82" s="2">
        <v>70</v>
      </c>
      <c r="B82" s="43">
        <v>42389.463888888888</v>
      </c>
      <c r="C82" s="43">
        <v>42403.559027777781</v>
      </c>
      <c r="D82" s="28">
        <v>3.0449999999999999</v>
      </c>
      <c r="E82" s="17" t="s">
        <v>21</v>
      </c>
      <c r="F82" s="2" t="s">
        <v>53</v>
      </c>
      <c r="G82" s="16" t="s">
        <v>20</v>
      </c>
      <c r="H82" s="23">
        <v>4.8788999999999999E-2</v>
      </c>
      <c r="I82" s="27">
        <v>36.19</v>
      </c>
      <c r="J82" s="27">
        <v>10.34</v>
      </c>
      <c r="K82" s="27">
        <v>10.71</v>
      </c>
      <c r="L82" s="27">
        <v>0.23</v>
      </c>
      <c r="M82" s="27">
        <v>5.01</v>
      </c>
      <c r="N82" s="17">
        <f t="shared" si="50"/>
        <v>22.586761360142656</v>
      </c>
      <c r="O82" s="17">
        <f t="shared" si="51"/>
        <v>6.4533603886121869</v>
      </c>
      <c r="P82" s="15">
        <f t="shared" si="52"/>
        <v>29.040121748754842</v>
      </c>
      <c r="Q82" s="17">
        <f t="shared" si="53"/>
        <v>6.6842833425567241</v>
      </c>
      <c r="R82" s="17">
        <f t="shared" si="54"/>
        <v>29.271044702699381</v>
      </c>
      <c r="S82" s="17">
        <f t="shared" si="55"/>
        <v>0.14354670110065795</v>
      </c>
      <c r="T82" s="17">
        <f t="shared" si="56"/>
        <v>3.1268216196273753</v>
      </c>
      <c r="U82" s="17">
        <f t="shared" si="57"/>
        <v>1.6024504290582342</v>
      </c>
      <c r="V82" s="17">
        <f t="shared" si="58"/>
        <v>0.45784297973092397</v>
      </c>
      <c r="W82" s="17">
        <f t="shared" si="59"/>
        <v>2.0602934087891582</v>
      </c>
      <c r="X82" s="17">
        <f t="shared" si="60"/>
        <v>0.47422614244856831</v>
      </c>
      <c r="Y82" s="17">
        <f t="shared" si="61"/>
        <v>2.0766765715068023</v>
      </c>
      <c r="Z82" s="17">
        <f t="shared" si="62"/>
        <v>1.0184128175832934E-2</v>
      </c>
      <c r="AA82" s="17">
        <f t="shared" si="63"/>
        <v>0.22183687896053478</v>
      </c>
    </row>
    <row r="83" spans="1:28">
      <c r="A83" s="2">
        <v>71</v>
      </c>
      <c r="B83" s="43">
        <v>42403.559027777781</v>
      </c>
      <c r="C83" s="43">
        <v>42416.489583333336</v>
      </c>
      <c r="D83" s="28">
        <v>2.7850000000000001</v>
      </c>
      <c r="E83" s="17" t="s">
        <v>21</v>
      </c>
      <c r="F83" s="2" t="s">
        <v>66</v>
      </c>
      <c r="G83" s="16" t="s">
        <v>20</v>
      </c>
      <c r="H83" s="23">
        <v>4.5730311361774995E-2</v>
      </c>
      <c r="I83" s="27">
        <v>32.78</v>
      </c>
      <c r="J83" s="27">
        <v>16.48</v>
      </c>
      <c r="K83" s="27">
        <v>38.51</v>
      </c>
      <c r="L83" s="27">
        <v>1.1399999999999999</v>
      </c>
      <c r="M83" s="27">
        <v>2.8</v>
      </c>
      <c r="N83" s="17">
        <f t="shared" si="50"/>
        <v>19.963192307566338</v>
      </c>
      <c r="O83" s="17">
        <f t="shared" si="51"/>
        <v>10.036406626866786</v>
      </c>
      <c r="P83" s="15">
        <f t="shared" si="52"/>
        <v>29.999598934433124</v>
      </c>
      <c r="Q83" s="17">
        <f t="shared" si="53"/>
        <v>23.452792427223294</v>
      </c>
      <c r="R83" s="17">
        <f t="shared" si="54"/>
        <v>43.415984734789632</v>
      </c>
      <c r="S83" s="17">
        <f t="shared" si="55"/>
        <v>0.69426599239248388</v>
      </c>
      <c r="T83" s="17">
        <f t="shared" si="56"/>
        <v>1.7052147181569779</v>
      </c>
      <c r="U83" s="17">
        <f t="shared" si="57"/>
        <v>1.543877385762477</v>
      </c>
      <c r="V83" s="17">
        <f t="shared" si="58"/>
        <v>0.7761775264602081</v>
      </c>
      <c r="W83" s="17">
        <f t="shared" si="59"/>
        <v>2.3200549122226852</v>
      </c>
      <c r="X83" s="17">
        <f t="shared" si="60"/>
        <v>1.8137497902902071</v>
      </c>
      <c r="Y83" s="17">
        <f t="shared" si="61"/>
        <v>3.3576271760526843</v>
      </c>
      <c r="Z83" s="17">
        <f t="shared" si="62"/>
        <v>5.3691892000281377E-2</v>
      </c>
      <c r="AA83" s="17">
        <f t="shared" si="63"/>
        <v>0.13187482245683146</v>
      </c>
    </row>
    <row r="84" spans="1:28">
      <c r="A84" s="2">
        <v>72</v>
      </c>
      <c r="B84" s="43">
        <v>42416.489583333336</v>
      </c>
      <c r="C84" s="43">
        <v>42425.594444444447</v>
      </c>
      <c r="D84" s="28">
        <v>1.72</v>
      </c>
      <c r="E84" s="17" t="s">
        <v>21</v>
      </c>
      <c r="F84" s="2" t="s">
        <v>64</v>
      </c>
      <c r="G84" s="16" t="s">
        <v>20</v>
      </c>
      <c r="H84" s="23">
        <v>4.8788999999999999E-2</v>
      </c>
      <c r="I84" s="27">
        <v>33.369999999999997</v>
      </c>
      <c r="J84" s="27">
        <v>25.63</v>
      </c>
      <c r="K84" s="27">
        <v>42.53</v>
      </c>
      <c r="L84" s="27">
        <v>1.37</v>
      </c>
      <c r="M84" s="27">
        <v>3.42</v>
      </c>
      <c r="N84" s="17">
        <f t="shared" si="50"/>
        <v>11.764209145504109</v>
      </c>
      <c r="O84" s="17">
        <f t="shared" si="51"/>
        <v>9.0355612945540997</v>
      </c>
      <c r="P84" s="15">
        <f t="shared" si="52"/>
        <v>20.799770440058211</v>
      </c>
      <c r="Q84" s="17">
        <f t="shared" si="53"/>
        <v>14.993461640943657</v>
      </c>
      <c r="R84" s="17">
        <f t="shared" si="54"/>
        <v>26.757670786447768</v>
      </c>
      <c r="S84" s="17">
        <f t="shared" si="55"/>
        <v>0.48297772038779241</v>
      </c>
      <c r="T84" s="17">
        <f t="shared" si="56"/>
        <v>1.2056816085593063</v>
      </c>
      <c r="U84" s="17">
        <f t="shared" si="57"/>
        <v>1.2920800220826953</v>
      </c>
      <c r="V84" s="17">
        <f t="shared" si="58"/>
        <v>0.99238870140783575</v>
      </c>
      <c r="W84" s="17">
        <f t="shared" si="59"/>
        <v>2.2844687234905314</v>
      </c>
      <c r="X84" s="17">
        <f t="shared" si="60"/>
        <v>1.6467534713568186</v>
      </c>
      <c r="Y84" s="17">
        <f t="shared" si="61"/>
        <v>2.9388334934395144</v>
      </c>
      <c r="Z84" s="17">
        <f t="shared" si="62"/>
        <v>5.3046138155627594E-2</v>
      </c>
      <c r="AA84" s="17">
        <f t="shared" si="63"/>
        <v>0.13242174634470535</v>
      </c>
    </row>
    <row r="85" spans="1:28">
      <c r="A85" s="2">
        <v>73</v>
      </c>
      <c r="B85" s="43">
        <v>42425.594444444447</v>
      </c>
      <c r="C85" s="43">
        <v>42446.574999999997</v>
      </c>
      <c r="D85" s="28">
        <v>1.94</v>
      </c>
      <c r="E85" s="17">
        <f>150/824</f>
        <v>0.18203883495145631</v>
      </c>
      <c r="F85" s="2" t="s">
        <v>19</v>
      </c>
      <c r="G85" s="16" t="s">
        <v>20</v>
      </c>
      <c r="H85" s="23">
        <v>4.5730311361774995E-2</v>
      </c>
      <c r="I85" s="27">
        <v>70.02</v>
      </c>
      <c r="J85" s="27">
        <v>76.67</v>
      </c>
      <c r="K85" s="27">
        <v>93.05</v>
      </c>
      <c r="L85" s="27">
        <v>0.68</v>
      </c>
      <c r="M85" s="27">
        <v>2.81</v>
      </c>
      <c r="N85" s="17">
        <f t="shared" si="50"/>
        <v>29.704324321208269</v>
      </c>
      <c r="O85" s="17">
        <f t="shared" si="51"/>
        <v>32.525429101785747</v>
      </c>
      <c r="P85" s="15">
        <f t="shared" si="52"/>
        <v>62.229753422994015</v>
      </c>
      <c r="Q85" s="17">
        <f t="shared" si="53"/>
        <v>39.474255613945012</v>
      </c>
      <c r="R85" s="17">
        <f t="shared" si="54"/>
        <v>69.17857993515328</v>
      </c>
      <c r="S85" s="17">
        <f t="shared" si="55"/>
        <v>0.28847387229965193</v>
      </c>
      <c r="T85" s="17">
        <f t="shared" si="56"/>
        <v>1.1920758546500319</v>
      </c>
      <c r="U85" s="17">
        <f t="shared" si="57"/>
        <v>1.4158025626423427</v>
      </c>
      <c r="V85" s="17">
        <f t="shared" si="58"/>
        <v>1.550265388143222</v>
      </c>
      <c r="W85" s="17">
        <f t="shared" si="59"/>
        <v>2.9660679507855647</v>
      </c>
      <c r="X85" s="17">
        <f t="shared" si="60"/>
        <v>1.8814685583243358</v>
      </c>
      <c r="Y85" s="17">
        <f t="shared" si="61"/>
        <v>3.2972711209666783</v>
      </c>
      <c r="Z85" s="17">
        <f t="shared" si="62"/>
        <v>1.374958215648091E-2</v>
      </c>
      <c r="AA85" s="17">
        <f t="shared" si="63"/>
        <v>5.6818126264281385E-2</v>
      </c>
      <c r="AB85" s="24" t="s">
        <v>133</v>
      </c>
    </row>
    <row r="86" spans="1:28">
      <c r="A86" s="2">
        <v>74</v>
      </c>
      <c r="B86" s="43">
        <v>42446.574999999997</v>
      </c>
      <c r="C86" s="43">
        <v>42459.378472222219</v>
      </c>
      <c r="D86" s="28">
        <v>1.675</v>
      </c>
      <c r="E86" s="17" t="s">
        <v>21</v>
      </c>
      <c r="F86" s="2" t="s">
        <v>19</v>
      </c>
      <c r="G86" s="16" t="s">
        <v>20</v>
      </c>
      <c r="H86" s="23">
        <v>4.8788999999999999E-2</v>
      </c>
      <c r="I86" s="27">
        <v>37.25</v>
      </c>
      <c r="J86" s="27">
        <v>71.319999999999993</v>
      </c>
      <c r="K86" s="27">
        <v>90.12</v>
      </c>
      <c r="L86" s="27">
        <v>2.06</v>
      </c>
      <c r="M86" s="27">
        <v>3.13</v>
      </c>
      <c r="N86" s="17">
        <f t="shared" si="50"/>
        <v>12.788487158990758</v>
      </c>
      <c r="O86" s="17">
        <f t="shared" si="51"/>
        <v>24.485232326958947</v>
      </c>
      <c r="P86" s="15">
        <f t="shared" si="52"/>
        <v>37.273719485949705</v>
      </c>
      <c r="Q86" s="17">
        <f t="shared" si="53"/>
        <v>30.939556047469722</v>
      </c>
      <c r="R86" s="17">
        <f t="shared" si="54"/>
        <v>43.728043206460484</v>
      </c>
      <c r="S86" s="17">
        <f t="shared" si="55"/>
        <v>0.70722908852405264</v>
      </c>
      <c r="T86" s="17">
        <f t="shared" si="56"/>
        <v>1.0745762364467402</v>
      </c>
      <c r="U86" s="17">
        <f t="shared" si="57"/>
        <v>0.99882960942383014</v>
      </c>
      <c r="V86" s="17">
        <f t="shared" si="58"/>
        <v>1.9123900065532231</v>
      </c>
      <c r="W86" s="17">
        <f t="shared" si="59"/>
        <v>2.9112196159770534</v>
      </c>
      <c r="X86" s="17">
        <f t="shared" si="60"/>
        <v>2.4164972993631029</v>
      </c>
      <c r="Y86" s="17">
        <f t="shared" si="61"/>
        <v>3.4153269087869331</v>
      </c>
      <c r="Z86" s="17">
        <f t="shared" si="62"/>
        <v>5.5237288467465506E-2</v>
      </c>
      <c r="AA86" s="17">
        <f t="shared" si="63"/>
        <v>8.3928501409304385E-2</v>
      </c>
    </row>
    <row r="87" spans="1:28">
      <c r="A87" s="2">
        <v>75</v>
      </c>
      <c r="B87" s="43">
        <v>42459.378472222219</v>
      </c>
      <c r="C87" s="43">
        <v>42479.480555555558</v>
      </c>
      <c r="D87" s="28">
        <v>1.746</v>
      </c>
      <c r="E87" s="17">
        <f>735/824</f>
        <v>0.89199029126213591</v>
      </c>
      <c r="F87" s="2" t="s">
        <v>53</v>
      </c>
      <c r="G87" s="16" t="s">
        <v>20</v>
      </c>
      <c r="H87" s="23">
        <v>4.5730311361774995E-2</v>
      </c>
      <c r="I87" s="27">
        <v>119.06</v>
      </c>
      <c r="J87" s="27">
        <v>156.52000000000001</v>
      </c>
      <c r="K87" s="27">
        <v>260.83</v>
      </c>
      <c r="L87" s="27">
        <v>1.6</v>
      </c>
      <c r="M87" s="27">
        <v>10.66</v>
      </c>
      <c r="N87" s="17">
        <f t="shared" si="50"/>
        <v>45.457543106466026</v>
      </c>
      <c r="O87" s="17">
        <f t="shared" si="51"/>
        <v>59.759908004569652</v>
      </c>
      <c r="P87" s="15">
        <f t="shared" si="52"/>
        <v>105.21745111103567</v>
      </c>
      <c r="Q87" s="17">
        <f t="shared" si="53"/>
        <v>99.585847206950561</v>
      </c>
      <c r="R87" s="17">
        <f t="shared" si="54"/>
        <v>145.04339031341658</v>
      </c>
      <c r="S87" s="17">
        <f t="shared" si="55"/>
        <v>0.61088584722279227</v>
      </c>
      <c r="T87" s="17">
        <f t="shared" si="56"/>
        <v>4.0700269571218533</v>
      </c>
      <c r="U87" s="17">
        <f t="shared" si="57"/>
        <v>2.261334924976464</v>
      </c>
      <c r="V87" s="17">
        <f t="shared" si="58"/>
        <v>2.9728216231926439</v>
      </c>
      <c r="W87" s="17">
        <f t="shared" si="59"/>
        <v>5.234156548169107</v>
      </c>
      <c r="X87" s="17">
        <f t="shared" si="60"/>
        <v>4.9540062865917278</v>
      </c>
      <c r="Y87" s="17">
        <f t="shared" si="61"/>
        <v>7.2153412115681919</v>
      </c>
      <c r="Z87" s="17">
        <f t="shared" si="62"/>
        <v>3.0389180916868323E-2</v>
      </c>
      <c r="AA87" s="17">
        <f t="shared" si="63"/>
        <v>0.20246791785863519</v>
      </c>
    </row>
    <row r="88" spans="1:28">
      <c r="A88" s="2">
        <v>76</v>
      </c>
      <c r="B88" s="43">
        <v>42479.480555555558</v>
      </c>
      <c r="C88" s="43">
        <v>42493.407638888886</v>
      </c>
      <c r="D88" s="28">
        <v>1.04</v>
      </c>
      <c r="E88" s="17">
        <f>345/824</f>
        <v>0.4186893203883495</v>
      </c>
      <c r="F88" s="2" t="s">
        <v>66</v>
      </c>
      <c r="G88" s="16" t="s">
        <v>20</v>
      </c>
      <c r="H88" s="23">
        <v>4.8788999999999999E-2</v>
      </c>
      <c r="I88" s="27">
        <v>65.540000000000006</v>
      </c>
      <c r="J88" s="27">
        <v>193.52</v>
      </c>
      <c r="K88" s="27">
        <v>259.33</v>
      </c>
      <c r="L88" s="27">
        <v>4.33</v>
      </c>
      <c r="M88" s="27">
        <v>6.52</v>
      </c>
      <c r="N88" s="17">
        <f t="shared" si="50"/>
        <v>13.970690114575008</v>
      </c>
      <c r="O88" s="17">
        <f t="shared" si="51"/>
        <v>41.25126565414336</v>
      </c>
      <c r="P88" s="15">
        <f t="shared" si="52"/>
        <v>55.221955768718367</v>
      </c>
      <c r="Q88" s="17">
        <f t="shared" si="53"/>
        <v>55.279509725552892</v>
      </c>
      <c r="R88" s="17">
        <f t="shared" si="54"/>
        <v>69.250199840127905</v>
      </c>
      <c r="S88" s="17">
        <f t="shared" si="55"/>
        <v>0.92299493738342675</v>
      </c>
      <c r="T88" s="17">
        <f t="shared" si="56"/>
        <v>1.3898214761524115</v>
      </c>
      <c r="U88" s="17">
        <f t="shared" si="57"/>
        <v>1.00313107778584</v>
      </c>
      <c r="V88" s="17">
        <f t="shared" si="58"/>
        <v>2.9619457762147658</v>
      </c>
      <c r="W88" s="17">
        <f t="shared" si="59"/>
        <v>3.9650768540006056</v>
      </c>
      <c r="X88" s="17">
        <f t="shared" si="60"/>
        <v>3.9692093744614256</v>
      </c>
      <c r="Y88" s="17">
        <f t="shared" si="61"/>
        <v>4.9723404522472654</v>
      </c>
      <c r="Z88" s="17">
        <f t="shared" si="62"/>
        <v>6.6273383686492021E-2</v>
      </c>
      <c r="AA88" s="17">
        <f t="shared" si="63"/>
        <v>9.9792716313147317E-2</v>
      </c>
    </row>
    <row r="89" spans="1:28">
      <c r="A89" s="2">
        <v>77</v>
      </c>
      <c r="B89" s="43">
        <v>42493.407638888886</v>
      </c>
      <c r="C89" s="43">
        <v>42508.663194444445</v>
      </c>
      <c r="D89" s="28">
        <v>1.82</v>
      </c>
      <c r="E89" s="17" t="s">
        <v>21</v>
      </c>
      <c r="F89" s="2" t="s">
        <v>66</v>
      </c>
      <c r="G89" s="16" t="s">
        <v>20</v>
      </c>
      <c r="H89" s="23">
        <v>4.5730311361774995E-2</v>
      </c>
      <c r="I89" s="27">
        <v>166.2</v>
      </c>
      <c r="J89" s="27">
        <v>161.65</v>
      </c>
      <c r="K89" s="27">
        <v>222.45</v>
      </c>
      <c r="L89" s="27">
        <v>3.43</v>
      </c>
      <c r="M89" s="27">
        <v>19.09</v>
      </c>
      <c r="N89" s="17">
        <f t="shared" si="50"/>
        <v>66.145187074505685</v>
      </c>
      <c r="O89" s="17">
        <f t="shared" si="51"/>
        <v>64.334353132333604</v>
      </c>
      <c r="P89" s="15">
        <f t="shared" si="52"/>
        <v>130.47954020683929</v>
      </c>
      <c r="Q89" s="17">
        <f t="shared" si="53"/>
        <v>88.531870425534223</v>
      </c>
      <c r="R89" s="17">
        <f t="shared" si="54"/>
        <v>154.67705750003989</v>
      </c>
      <c r="S89" s="17">
        <f t="shared" si="55"/>
        <v>1.3650902025604965</v>
      </c>
      <c r="T89" s="17">
        <f t="shared" si="56"/>
        <v>7.5975428474868441</v>
      </c>
      <c r="U89" s="17">
        <f t="shared" si="57"/>
        <v>4.3358097863831926</v>
      </c>
      <c r="V89" s="17">
        <f t="shared" si="58"/>
        <v>4.2171098193071188</v>
      </c>
      <c r="W89" s="17">
        <f t="shared" si="59"/>
        <v>8.5529196056903114</v>
      </c>
      <c r="X89" s="17">
        <f t="shared" si="60"/>
        <v>5.8032544343016914</v>
      </c>
      <c r="Y89" s="17">
        <f t="shared" si="61"/>
        <v>10.139064220684883</v>
      </c>
      <c r="Z89" s="17">
        <f t="shared" si="62"/>
        <v>8.9481513641963606E-2</v>
      </c>
      <c r="AA89" s="17">
        <f t="shared" si="63"/>
        <v>0.49801810362247378</v>
      </c>
    </row>
    <row r="90" spans="1:28">
      <c r="A90" s="2">
        <v>78</v>
      </c>
      <c r="B90" s="43">
        <v>42508.663194444445</v>
      </c>
      <c r="C90" s="43">
        <v>42527.590277777781</v>
      </c>
      <c r="D90" s="28">
        <v>0.5</v>
      </c>
      <c r="E90" s="17">
        <f>135/824</f>
        <v>0.16383495145631069</v>
      </c>
      <c r="F90" s="2" t="s">
        <v>66</v>
      </c>
      <c r="G90" s="16" t="s">
        <v>20</v>
      </c>
      <c r="H90" s="23">
        <v>4.8788999999999999E-2</v>
      </c>
      <c r="I90" s="27">
        <v>171.14</v>
      </c>
      <c r="J90" s="27">
        <v>86.38</v>
      </c>
      <c r="K90" s="27">
        <v>578.65</v>
      </c>
      <c r="L90" s="27">
        <v>23.6</v>
      </c>
      <c r="M90" s="27">
        <v>124.84</v>
      </c>
      <c r="N90" s="17">
        <f t="shared" si="50"/>
        <v>17.538789481235522</v>
      </c>
      <c r="O90" s="17">
        <f t="shared" si="51"/>
        <v>8.8524052552829531</v>
      </c>
      <c r="P90" s="15">
        <f t="shared" si="52"/>
        <v>26.391194736518475</v>
      </c>
      <c r="Q90" s="17">
        <f t="shared" si="53"/>
        <v>59.301276927176211</v>
      </c>
      <c r="R90" s="17">
        <f t="shared" si="54"/>
        <v>76.84006640841173</v>
      </c>
      <c r="S90" s="17">
        <f t="shared" si="55"/>
        <v>2.4185779581463036</v>
      </c>
      <c r="T90" s="17">
        <f t="shared" si="56"/>
        <v>12.793867470126465</v>
      </c>
      <c r="U90" s="17">
        <f t="shared" si="57"/>
        <v>0.92665040737390991</v>
      </c>
      <c r="V90" s="17">
        <f t="shared" si="58"/>
        <v>0.46771100963514289</v>
      </c>
      <c r="W90" s="17">
        <f t="shared" si="59"/>
        <v>1.3943614170090528</v>
      </c>
      <c r="X90" s="17">
        <f t="shared" si="60"/>
        <v>3.1331439653319686</v>
      </c>
      <c r="Y90" s="17">
        <f t="shared" si="61"/>
        <v>4.0597943727058778</v>
      </c>
      <c r="Z90" s="17">
        <f t="shared" si="62"/>
        <v>0.12778397577436179</v>
      </c>
      <c r="AA90" s="17">
        <f t="shared" si="63"/>
        <v>0.67595557354539526</v>
      </c>
      <c r="AB90" s="24" t="s">
        <v>89</v>
      </c>
    </row>
    <row r="91" spans="1:28">
      <c r="A91" s="2">
        <v>79</v>
      </c>
      <c r="B91" s="43">
        <v>42527.590277777781</v>
      </c>
      <c r="C91" s="43">
        <v>42542.399305555555</v>
      </c>
      <c r="D91" s="28">
        <v>0.5</v>
      </c>
      <c r="E91" s="17">
        <v>0</v>
      </c>
      <c r="F91" s="2" t="s">
        <v>66</v>
      </c>
      <c r="G91" s="16" t="s">
        <v>20</v>
      </c>
      <c r="H91" s="23">
        <v>4.5730311361774995E-2</v>
      </c>
      <c r="I91" s="27">
        <v>229.51</v>
      </c>
      <c r="J91" s="27">
        <v>187.49</v>
      </c>
      <c r="K91" s="27">
        <v>659.84</v>
      </c>
      <c r="L91" s="27">
        <v>7.39</v>
      </c>
      <c r="M91" s="27">
        <v>65.569999999999993</v>
      </c>
      <c r="N91" s="17">
        <f t="shared" si="50"/>
        <v>25.09385932060836</v>
      </c>
      <c r="O91" s="17">
        <f t="shared" si="51"/>
        <v>20.499532412621942</v>
      </c>
      <c r="P91" s="15">
        <f t="shared" si="52"/>
        <v>45.593391733230305</v>
      </c>
      <c r="Q91" s="17">
        <f t="shared" si="53"/>
        <v>72.14470887591051</v>
      </c>
      <c r="R91" s="17">
        <f t="shared" si="54"/>
        <v>97.23856819651887</v>
      </c>
      <c r="S91" s="17">
        <f t="shared" si="55"/>
        <v>0.80799799738266653</v>
      </c>
      <c r="T91" s="17">
        <f t="shared" si="56"/>
        <v>7.1692055058702895</v>
      </c>
      <c r="U91" s="17">
        <f t="shared" si="57"/>
        <v>1.6944974171951184</v>
      </c>
      <c r="V91" s="17">
        <f t="shared" si="58"/>
        <v>1.3842591640883308</v>
      </c>
      <c r="W91" s="17">
        <f t="shared" si="59"/>
        <v>3.0787565812834496</v>
      </c>
      <c r="X91" s="17">
        <f t="shared" si="60"/>
        <v>4.8716708455493309</v>
      </c>
      <c r="Y91" s="17">
        <f t="shared" si="61"/>
        <v>6.5661682627444495</v>
      </c>
      <c r="Z91" s="17">
        <f t="shared" si="62"/>
        <v>5.4561177783416522E-2</v>
      </c>
      <c r="AA91" s="17">
        <f t="shared" si="63"/>
        <v>0.48411047730157253</v>
      </c>
      <c r="AB91" s="24" t="s">
        <v>88</v>
      </c>
    </row>
    <row r="92" spans="1:28">
      <c r="A92" s="2">
        <v>80</v>
      </c>
      <c r="B92" s="43">
        <v>42542.399305555555</v>
      </c>
      <c r="C92" s="43">
        <v>42550.40625</v>
      </c>
      <c r="D92" s="28">
        <v>1.28</v>
      </c>
      <c r="E92" s="17">
        <v>0</v>
      </c>
      <c r="F92" s="2" t="s">
        <v>19</v>
      </c>
      <c r="G92" s="16" t="s">
        <v>20</v>
      </c>
      <c r="H92" s="23">
        <v>4.8788999999999999E-2</v>
      </c>
      <c r="I92" s="27">
        <v>45.68</v>
      </c>
      <c r="J92" s="27">
        <v>2.63</v>
      </c>
      <c r="K92" s="27">
        <v>315.52</v>
      </c>
      <c r="L92" s="27">
        <v>6.31</v>
      </c>
      <c r="M92" s="27">
        <v>48.87</v>
      </c>
      <c r="N92" s="27" t="s">
        <v>112</v>
      </c>
      <c r="O92" s="27" t="s">
        <v>112</v>
      </c>
      <c r="P92" s="27" t="s">
        <v>112</v>
      </c>
      <c r="Q92" s="27" t="s">
        <v>112</v>
      </c>
      <c r="R92" s="27" t="s">
        <v>112</v>
      </c>
      <c r="S92" s="27" t="s">
        <v>112</v>
      </c>
      <c r="T92" s="27" t="s">
        <v>112</v>
      </c>
      <c r="U92" s="27" t="s">
        <v>112</v>
      </c>
      <c r="V92" s="27" t="s">
        <v>112</v>
      </c>
      <c r="W92" s="27" t="s">
        <v>112</v>
      </c>
      <c r="X92" s="27" t="s">
        <v>112</v>
      </c>
      <c r="Y92" s="27" t="s">
        <v>112</v>
      </c>
      <c r="Z92" s="27" t="s">
        <v>112</v>
      </c>
      <c r="AA92" s="27" t="s">
        <v>112</v>
      </c>
      <c r="AB92" s="24" t="s">
        <v>134</v>
      </c>
    </row>
    <row r="93" spans="1:28" s="32" customFormat="1">
      <c r="A93" s="38">
        <v>81</v>
      </c>
      <c r="B93" s="45">
        <v>42550.40625</v>
      </c>
      <c r="C93" s="45">
        <v>42558.444444444445</v>
      </c>
      <c r="D93" s="29">
        <v>1.355</v>
      </c>
      <c r="E93" s="14">
        <v>0</v>
      </c>
      <c r="F93" s="38" t="s">
        <v>19</v>
      </c>
      <c r="G93" s="13" t="s">
        <v>20</v>
      </c>
      <c r="H93" s="25">
        <v>4.5730311361774995E-2</v>
      </c>
      <c r="I93" s="30">
        <v>74.81</v>
      </c>
      <c r="J93" s="30">
        <v>75.959999999999994</v>
      </c>
      <c r="K93" s="30">
        <v>182.33</v>
      </c>
      <c r="L93" s="30">
        <v>3.61</v>
      </c>
      <c r="M93" s="30">
        <v>8.39</v>
      </c>
      <c r="N93" s="14">
        <f t="shared" si="50"/>
        <v>22.166380892987096</v>
      </c>
      <c r="O93" s="14">
        <f t="shared" si="51"/>
        <v>22.507128627607269</v>
      </c>
      <c r="P93" s="22">
        <f t="shared" si="52"/>
        <v>44.673509520594365</v>
      </c>
      <c r="Q93" s="14">
        <f t="shared" si="53"/>
        <v>54.02481256808364</v>
      </c>
      <c r="R93" s="14">
        <f t="shared" si="54"/>
        <v>76.191193461070739</v>
      </c>
      <c r="S93" s="14">
        <f t="shared" si="55"/>
        <v>1.0696515843294132</v>
      </c>
      <c r="T93" s="14">
        <f t="shared" si="56"/>
        <v>2.4859769508376117</v>
      </c>
      <c r="U93" s="14">
        <f t="shared" si="57"/>
        <v>2.7576318346348345</v>
      </c>
      <c r="V93" s="14">
        <f t="shared" si="58"/>
        <v>2.8000229134990242</v>
      </c>
      <c r="W93" s="14">
        <f t="shared" si="59"/>
        <v>5.5576547481338592</v>
      </c>
      <c r="X93" s="14">
        <f t="shared" si="60"/>
        <v>6.7210133993980659</v>
      </c>
      <c r="Y93" s="14">
        <f t="shared" si="61"/>
        <v>9.4786452340329017</v>
      </c>
      <c r="Z93" s="14">
        <f t="shared" si="62"/>
        <v>0.13307112582584882</v>
      </c>
      <c r="AA93" s="14">
        <f t="shared" si="63"/>
        <v>0.3092705666700476</v>
      </c>
      <c r="AB93" s="32" t="s">
        <v>113</v>
      </c>
    </row>
    <row r="94" spans="1:28">
      <c r="A94" s="2">
        <v>82</v>
      </c>
      <c r="B94" s="43">
        <v>42558.444444444445</v>
      </c>
      <c r="C94" s="43">
        <v>42573.532638888886</v>
      </c>
      <c r="D94" s="28">
        <v>0.5</v>
      </c>
      <c r="E94" s="17">
        <v>0</v>
      </c>
      <c r="F94" s="2" t="s">
        <v>19</v>
      </c>
      <c r="G94" s="16" t="s">
        <v>20</v>
      </c>
      <c r="H94" s="23">
        <v>4.8788999999999999E-2</v>
      </c>
      <c r="I94" s="27">
        <v>145.66</v>
      </c>
      <c r="J94" s="27">
        <v>42.03</v>
      </c>
      <c r="K94" s="27">
        <v>418.76</v>
      </c>
      <c r="L94" s="27">
        <v>53.38</v>
      </c>
      <c r="M94" s="27">
        <v>114.32</v>
      </c>
      <c r="N94" s="17">
        <f t="shared" si="50"/>
        <v>14.927545143372482</v>
      </c>
      <c r="O94" s="17">
        <f t="shared" si="51"/>
        <v>4.3073233720715738</v>
      </c>
      <c r="P94" s="15">
        <f t="shared" si="52"/>
        <v>19.234868515444056</v>
      </c>
      <c r="Q94" s="17">
        <f t="shared" si="53"/>
        <v>42.915411260735006</v>
      </c>
      <c r="R94" s="17">
        <f t="shared" si="54"/>
        <v>57.84295640410749</v>
      </c>
      <c r="S94" s="17">
        <f t="shared" si="55"/>
        <v>5.470495398552953</v>
      </c>
      <c r="T94" s="17">
        <f t="shared" si="56"/>
        <v>11.715755600647686</v>
      </c>
      <c r="U94" s="17">
        <f t="shared" si="57"/>
        <v>0.98935264907541043</v>
      </c>
      <c r="V94" s="17">
        <f t="shared" si="58"/>
        <v>0.28547639599505353</v>
      </c>
      <c r="W94" s="17">
        <f t="shared" si="59"/>
        <v>1.274829045070464</v>
      </c>
      <c r="X94" s="17">
        <f t="shared" si="60"/>
        <v>2.8443039635234029</v>
      </c>
      <c r="Y94" s="17">
        <f t="shared" si="61"/>
        <v>3.8336566125988134</v>
      </c>
      <c r="Z94" s="17">
        <f t="shared" si="62"/>
        <v>0.36256792810411514</v>
      </c>
      <c r="AA94" s="17">
        <f t="shared" si="63"/>
        <v>0.77648492957779003</v>
      </c>
      <c r="AB94" s="24" t="s">
        <v>135</v>
      </c>
    </row>
    <row r="95" spans="1:28">
      <c r="A95" s="2">
        <v>83</v>
      </c>
      <c r="B95" s="43">
        <v>42573.532638888886</v>
      </c>
      <c r="C95" s="43">
        <v>42585.496527777781</v>
      </c>
      <c r="D95" s="28">
        <v>0.61799999999999999</v>
      </c>
      <c r="E95" s="17">
        <v>0</v>
      </c>
      <c r="F95" s="2" t="s">
        <v>19</v>
      </c>
      <c r="G95" s="16" t="s">
        <v>20</v>
      </c>
      <c r="H95" s="23">
        <v>4.5730311361774995E-2</v>
      </c>
      <c r="I95" s="27">
        <v>155.63</v>
      </c>
      <c r="J95" s="27">
        <v>66.75</v>
      </c>
      <c r="K95" s="27">
        <v>398.68</v>
      </c>
      <c r="L95" s="27">
        <v>43.08</v>
      </c>
      <c r="M95" s="27">
        <v>66.17</v>
      </c>
      <c r="N95" s="27" t="s">
        <v>112</v>
      </c>
      <c r="O95" s="27" t="s">
        <v>112</v>
      </c>
      <c r="P95" s="27" t="s">
        <v>112</v>
      </c>
      <c r="Q95" s="27" t="s">
        <v>112</v>
      </c>
      <c r="R95" s="27" t="s">
        <v>112</v>
      </c>
      <c r="S95" s="27" t="s">
        <v>112</v>
      </c>
      <c r="T95" s="27" t="s">
        <v>112</v>
      </c>
      <c r="U95" s="27" t="s">
        <v>112</v>
      </c>
      <c r="V95" s="27" t="s">
        <v>112</v>
      </c>
      <c r="W95" s="27" t="s">
        <v>112</v>
      </c>
      <c r="X95" s="27" t="s">
        <v>112</v>
      </c>
      <c r="Y95" s="27" t="s">
        <v>112</v>
      </c>
      <c r="Z95" s="27" t="s">
        <v>112</v>
      </c>
      <c r="AA95" s="27" t="s">
        <v>112</v>
      </c>
      <c r="AB95" s="24" t="s">
        <v>130</v>
      </c>
    </row>
    <row r="96" spans="1:28">
      <c r="A96" s="2">
        <v>84</v>
      </c>
      <c r="B96" s="43">
        <v>42585.496527777781</v>
      </c>
      <c r="C96" s="43">
        <v>42597.452777777777</v>
      </c>
      <c r="D96" s="28">
        <v>0.5</v>
      </c>
      <c r="E96" s="17">
        <v>0</v>
      </c>
      <c r="F96" s="2" t="s">
        <v>19</v>
      </c>
      <c r="G96" s="16" t="s">
        <v>20</v>
      </c>
      <c r="H96" s="23">
        <v>4.8788999999999999E-2</v>
      </c>
      <c r="I96" s="27">
        <v>321.75</v>
      </c>
      <c r="J96" s="27">
        <v>320.66000000000003</v>
      </c>
      <c r="K96" s="27">
        <v>671.12</v>
      </c>
      <c r="L96" s="27">
        <v>13.38</v>
      </c>
      <c r="M96" s="27">
        <v>34.479999999999997</v>
      </c>
      <c r="N96" s="17">
        <f t="shared" si="50"/>
        <v>32.973621103117509</v>
      </c>
      <c r="O96" s="17">
        <f t="shared" si="51"/>
        <v>32.861915595728547</v>
      </c>
      <c r="P96" s="15">
        <f t="shared" si="52"/>
        <v>65.835536698846056</v>
      </c>
      <c r="Q96" s="17">
        <f t="shared" si="53"/>
        <v>68.77779827420116</v>
      </c>
      <c r="R96" s="17">
        <f t="shared" si="54"/>
        <v>101.75141937731867</v>
      </c>
      <c r="S96" s="17">
        <f t="shared" si="55"/>
        <v>1.3712107237287094</v>
      </c>
      <c r="T96" s="17">
        <f t="shared" si="56"/>
        <v>3.5335833896984976</v>
      </c>
      <c r="U96" s="17">
        <f t="shared" si="57"/>
        <v>2.7578564435445521</v>
      </c>
      <c r="V96" s="17">
        <f t="shared" si="58"/>
        <v>2.7485135887707721</v>
      </c>
      <c r="W96" s="17">
        <f t="shared" si="59"/>
        <v>5.5063700323153242</v>
      </c>
      <c r="X96" s="17">
        <f t="shared" si="60"/>
        <v>5.7524556842008385</v>
      </c>
      <c r="Y96" s="17">
        <f t="shared" si="61"/>
        <v>8.5103121277453901</v>
      </c>
      <c r="Z96" s="17">
        <f t="shared" si="62"/>
        <v>0.11468568520474313</v>
      </c>
      <c r="AA96" s="17">
        <f t="shared" si="63"/>
        <v>0.29554278220175956</v>
      </c>
      <c r="AB96" s="24" t="s">
        <v>114</v>
      </c>
    </row>
    <row r="97" spans="1:28">
      <c r="A97" s="2">
        <v>82</v>
      </c>
      <c r="B97" s="43">
        <v>42597.452777777777</v>
      </c>
      <c r="C97" s="43">
        <v>42606.354166666664</v>
      </c>
      <c r="D97" s="28">
        <v>1.357</v>
      </c>
      <c r="E97" s="17" t="s">
        <v>21</v>
      </c>
      <c r="F97" s="2" t="s">
        <v>66</v>
      </c>
      <c r="G97" s="16" t="s">
        <v>20</v>
      </c>
      <c r="H97" s="23">
        <v>4.5730311361774995E-2</v>
      </c>
      <c r="I97" s="27">
        <v>132.32</v>
      </c>
      <c r="J97" s="27">
        <v>30.1</v>
      </c>
      <c r="K97" s="27">
        <v>208.06</v>
      </c>
      <c r="L97" s="27">
        <v>2.27</v>
      </c>
      <c r="M97" s="27">
        <v>12.74</v>
      </c>
      <c r="N97" s="17">
        <f t="shared" si="50"/>
        <v>39.264600360908304</v>
      </c>
      <c r="O97" s="17">
        <f t="shared" si="51"/>
        <v>8.9318657108777213</v>
      </c>
      <c r="P97" s="15">
        <f t="shared" si="52"/>
        <v>48.196466071786027</v>
      </c>
      <c r="Q97" s="17">
        <f t="shared" si="53"/>
        <v>61.73966710316342</v>
      </c>
      <c r="R97" s="17">
        <f t="shared" si="54"/>
        <v>101.00426746407172</v>
      </c>
      <c r="S97" s="17">
        <f t="shared" si="55"/>
        <v>0.67359917487350263</v>
      </c>
      <c r="T97" s="17">
        <f t="shared" si="56"/>
        <v>3.7804640915808032</v>
      </c>
      <c r="U97" s="17">
        <f t="shared" si="57"/>
        <v>4.4110644811761723</v>
      </c>
      <c r="V97" s="17">
        <f t="shared" si="58"/>
        <v>1.0034238277161638</v>
      </c>
      <c r="W97" s="17">
        <f t="shared" si="59"/>
        <v>5.4144883088923361</v>
      </c>
      <c r="X97" s="17">
        <f t="shared" si="60"/>
        <v>6.9359588569642883</v>
      </c>
      <c r="Y97" s="17">
        <f t="shared" si="61"/>
        <v>11.34702333814046</v>
      </c>
      <c r="Z97" s="17">
        <f t="shared" si="62"/>
        <v>7.5673491326102724E-2</v>
      </c>
      <c r="AA97" s="17">
        <f t="shared" si="63"/>
        <v>0.42470496894032983</v>
      </c>
      <c r="AB97" s="24" t="s">
        <v>115</v>
      </c>
    </row>
    <row r="98" spans="1:28">
      <c r="A98" s="2">
        <v>86</v>
      </c>
      <c r="B98" s="43">
        <v>42606.354166666664</v>
      </c>
      <c r="C98" s="43">
        <v>42627.410416666666</v>
      </c>
      <c r="D98" s="28">
        <v>0.5</v>
      </c>
      <c r="E98" s="17">
        <v>0</v>
      </c>
      <c r="F98" s="2" t="s">
        <v>66</v>
      </c>
      <c r="G98" s="16" t="s">
        <v>20</v>
      </c>
      <c r="H98" s="23">
        <v>4.8788999999999999E-2</v>
      </c>
      <c r="I98" s="27">
        <v>297.14</v>
      </c>
      <c r="J98" s="27">
        <v>101.51</v>
      </c>
      <c r="K98" s="27">
        <v>403.65</v>
      </c>
      <c r="L98" s="27">
        <v>37.36</v>
      </c>
      <c r="M98" s="27">
        <v>50.85</v>
      </c>
      <c r="N98" s="17" t="s">
        <v>111</v>
      </c>
      <c r="O98" s="17" t="s">
        <v>111</v>
      </c>
      <c r="P98" s="17" t="s">
        <v>111</v>
      </c>
      <c r="Q98" s="17" t="s">
        <v>111</v>
      </c>
      <c r="R98" s="17" t="s">
        <v>111</v>
      </c>
      <c r="S98" s="17" t="s">
        <v>111</v>
      </c>
      <c r="T98" s="17" t="s">
        <v>111</v>
      </c>
      <c r="U98" s="17" t="s">
        <v>111</v>
      </c>
      <c r="V98" s="17" t="s">
        <v>111</v>
      </c>
      <c r="W98" s="17" t="s">
        <v>111</v>
      </c>
      <c r="X98" s="17" t="s">
        <v>111</v>
      </c>
      <c r="Y98" s="17" t="s">
        <v>111</v>
      </c>
      <c r="Z98" s="17" t="s">
        <v>111</v>
      </c>
      <c r="AA98" s="17" t="s">
        <v>111</v>
      </c>
      <c r="AB98" s="24" t="s">
        <v>136</v>
      </c>
    </row>
    <row r="99" spans="1:28" s="44" customFormat="1">
      <c r="A99" s="42">
        <v>87</v>
      </c>
      <c r="B99" s="43">
        <v>42627.410416666666</v>
      </c>
      <c r="C99" s="43">
        <v>42649.62222222222</v>
      </c>
      <c r="D99" s="28">
        <v>0.5</v>
      </c>
      <c r="E99" s="19">
        <f>62/824</f>
        <v>7.5242718446601936E-2</v>
      </c>
      <c r="F99" s="42" t="s">
        <v>66</v>
      </c>
      <c r="G99" s="20" t="s">
        <v>20</v>
      </c>
      <c r="H99" s="26">
        <v>4.5730311361774995E-2</v>
      </c>
      <c r="I99" s="27">
        <v>381.83</v>
      </c>
      <c r="J99" s="27">
        <v>244.73</v>
      </c>
      <c r="K99" s="27">
        <v>587.47</v>
      </c>
      <c r="L99" s="27">
        <v>12.3</v>
      </c>
      <c r="M99" s="27">
        <v>58.99</v>
      </c>
      <c r="N99" s="19" t="s">
        <v>111</v>
      </c>
      <c r="O99" s="19" t="s">
        <v>111</v>
      </c>
      <c r="P99" s="19" t="s">
        <v>111</v>
      </c>
      <c r="Q99" s="19" t="s">
        <v>111</v>
      </c>
      <c r="R99" s="19" t="s">
        <v>111</v>
      </c>
      <c r="S99" s="19" t="s">
        <v>111</v>
      </c>
      <c r="T99" s="19" t="s">
        <v>111</v>
      </c>
      <c r="U99" s="19" t="s">
        <v>111</v>
      </c>
      <c r="V99" s="19" t="s">
        <v>111</v>
      </c>
      <c r="W99" s="19" t="s">
        <v>111</v>
      </c>
      <c r="X99" s="19" t="s">
        <v>111</v>
      </c>
      <c r="Y99" s="19" t="s">
        <v>111</v>
      </c>
      <c r="Z99" s="19" t="s">
        <v>111</v>
      </c>
      <c r="AA99" s="19" t="s">
        <v>111</v>
      </c>
      <c r="AB99" s="44" t="s">
        <v>131</v>
      </c>
    </row>
    <row r="100" spans="1:28">
      <c r="A100" s="2">
        <v>88</v>
      </c>
      <c r="B100" s="43">
        <v>42649.62222222222</v>
      </c>
      <c r="C100" s="43">
        <v>42663.40625</v>
      </c>
      <c r="D100" s="28">
        <v>2.2570000000000001</v>
      </c>
      <c r="E100" s="17" t="s">
        <v>116</v>
      </c>
      <c r="F100" s="2" t="s">
        <v>66</v>
      </c>
      <c r="G100" s="16" t="s">
        <v>20</v>
      </c>
      <c r="H100" s="23">
        <v>4.8788999999999999E-2</v>
      </c>
      <c r="I100" s="27">
        <v>89.22</v>
      </c>
      <c r="J100" s="27">
        <v>246.45</v>
      </c>
      <c r="K100" s="27">
        <v>328.22</v>
      </c>
      <c r="L100" s="27">
        <v>3.22</v>
      </c>
      <c r="M100" s="27">
        <v>17.170000000000002</v>
      </c>
      <c r="N100" s="17">
        <f t="shared" si="50"/>
        <v>41.273553464920376</v>
      </c>
      <c r="O100" s="17">
        <f t="shared" si="51"/>
        <v>114.00882371026258</v>
      </c>
      <c r="P100" s="15">
        <f t="shared" si="52"/>
        <v>155.28237717518294</v>
      </c>
      <c r="Q100" s="17">
        <f t="shared" si="53"/>
        <v>151.8359753223063</v>
      </c>
      <c r="R100" s="17">
        <f t="shared" si="54"/>
        <v>193.10952878722668</v>
      </c>
      <c r="S100" s="17">
        <f t="shared" si="55"/>
        <v>1.4895857672836093</v>
      </c>
      <c r="T100" s="17">
        <f t="shared" si="56"/>
        <v>7.9429154112607367</v>
      </c>
      <c r="U100" s="17">
        <f t="shared" si="57"/>
        <v>2.9943028358848141</v>
      </c>
      <c r="V100" s="17">
        <f t="shared" si="58"/>
        <v>8.2710819760570775</v>
      </c>
      <c r="W100" s="17">
        <f t="shared" si="59"/>
        <v>11.265384811941891</v>
      </c>
      <c r="X100" s="17">
        <f t="shared" si="60"/>
        <v>11.015356162229475</v>
      </c>
      <c r="Y100" s="17">
        <f t="shared" si="61"/>
        <v>14.00965899811429</v>
      </c>
      <c r="Z100" s="17">
        <f t="shared" si="62"/>
        <v>0.10806607410389039</v>
      </c>
      <c r="AA100" s="17">
        <f t="shared" si="63"/>
        <v>0.57624052557881933</v>
      </c>
      <c r="AB100" s="24" t="s">
        <v>117</v>
      </c>
    </row>
    <row r="101" spans="1:28">
      <c r="A101" s="2">
        <v>89</v>
      </c>
      <c r="B101" s="43">
        <v>42663.40625</v>
      </c>
      <c r="C101" s="43">
        <v>42681.40347222222</v>
      </c>
      <c r="D101" s="28">
        <v>1.5549999999999999</v>
      </c>
      <c r="E101" s="17" t="s">
        <v>118</v>
      </c>
      <c r="F101" s="2" t="s">
        <v>66</v>
      </c>
      <c r="G101" s="16" t="s">
        <v>20</v>
      </c>
      <c r="H101" s="23">
        <v>4.5730311361774995E-2</v>
      </c>
      <c r="I101" s="27">
        <v>114.26</v>
      </c>
      <c r="J101" s="27">
        <v>134.08000000000001</v>
      </c>
      <c r="K101" s="27">
        <v>221.57</v>
      </c>
      <c r="L101" s="27">
        <v>2.96</v>
      </c>
      <c r="M101" s="27">
        <v>9.43</v>
      </c>
      <c r="N101" s="17">
        <f t="shared" si="50"/>
        <v>38.85263290564739</v>
      </c>
      <c r="O101" s="17">
        <f t="shared" si="51"/>
        <v>45.592167162517086</v>
      </c>
      <c r="P101" s="15">
        <f t="shared" si="52"/>
        <v>84.444800068164483</v>
      </c>
      <c r="Q101" s="17">
        <f t="shared" si="53"/>
        <v>75.342008339789004</v>
      </c>
      <c r="R101" s="17">
        <f t="shared" si="54"/>
        <v>114.1946412454364</v>
      </c>
      <c r="S101" s="17">
        <f t="shared" si="55"/>
        <v>1.0065096569290763</v>
      </c>
      <c r="T101" s="17">
        <f t="shared" si="56"/>
        <v>3.206549346230132</v>
      </c>
      <c r="U101" s="17">
        <f t="shared" si="57"/>
        <v>2.1588127559861774</v>
      </c>
      <c r="V101" s="17">
        <f t="shared" si="58"/>
        <v>2.5332891153739423</v>
      </c>
      <c r="W101" s="17">
        <f t="shared" si="59"/>
        <v>4.6921018713601201</v>
      </c>
      <c r="X101" s="17">
        <f t="shared" si="60"/>
        <v>4.1863131659710948</v>
      </c>
      <c r="Y101" s="17">
        <f t="shared" si="61"/>
        <v>6.3451259219572727</v>
      </c>
      <c r="Z101" s="17">
        <f t="shared" si="62"/>
        <v>5.5925833692622828E-2</v>
      </c>
      <c r="AA101" s="17">
        <f t="shared" si="63"/>
        <v>0.17816912558156531</v>
      </c>
      <c r="AB101" s="24" t="s">
        <v>119</v>
      </c>
    </row>
    <row r="102" spans="1:28">
      <c r="A102" s="2">
        <v>90</v>
      </c>
      <c r="B102" s="43">
        <v>42681.40347222222</v>
      </c>
      <c r="C102" s="43">
        <v>42692.470833333333</v>
      </c>
      <c r="D102" s="28">
        <v>1.875</v>
      </c>
      <c r="E102" s="17" t="s">
        <v>21</v>
      </c>
      <c r="F102" s="2" t="s">
        <v>66</v>
      </c>
      <c r="G102" s="16" t="s">
        <v>20</v>
      </c>
      <c r="H102" s="23">
        <v>4.8788999999999999E-2</v>
      </c>
      <c r="I102" s="27">
        <v>57.75</v>
      </c>
      <c r="J102" s="27">
        <v>59.99</v>
      </c>
      <c r="K102" s="27">
        <v>127.2</v>
      </c>
      <c r="L102" s="27">
        <v>2.74</v>
      </c>
      <c r="M102" s="27">
        <v>2.85</v>
      </c>
      <c r="N102" s="17">
        <f t="shared" si="50"/>
        <v>22.193783434790628</v>
      </c>
      <c r="O102" s="17">
        <f t="shared" si="51"/>
        <v>23.054633216503721</v>
      </c>
      <c r="P102" s="15">
        <f t="shared" si="52"/>
        <v>45.248416651294349</v>
      </c>
      <c r="Q102" s="17">
        <f t="shared" si="53"/>
        <v>48.883969747279103</v>
      </c>
      <c r="R102" s="17">
        <f t="shared" si="54"/>
        <v>71.077753182069728</v>
      </c>
      <c r="S102" s="17">
        <f t="shared" si="55"/>
        <v>1.0530037508454775</v>
      </c>
      <c r="T102" s="17">
        <f t="shared" si="56"/>
        <v>1.0952776240546025</v>
      </c>
      <c r="U102" s="17">
        <f t="shared" si="57"/>
        <v>2.005336521685058</v>
      </c>
      <c r="V102" s="17">
        <f t="shared" si="58"/>
        <v>2.0831192716170848</v>
      </c>
      <c r="W102" s="17">
        <f t="shared" si="59"/>
        <v>4.0884557933021428</v>
      </c>
      <c r="X102" s="17">
        <f t="shared" si="60"/>
        <v>4.4169490139972192</v>
      </c>
      <c r="Y102" s="17">
        <f t="shared" si="61"/>
        <v>6.4222855356822768</v>
      </c>
      <c r="Z102" s="17">
        <f t="shared" si="62"/>
        <v>9.5144970898996692E-2</v>
      </c>
      <c r="AA102" s="17">
        <f t="shared" si="63"/>
        <v>9.8964659511730141E-2</v>
      </c>
    </row>
    <row r="103" spans="1:28">
      <c r="A103" s="2">
        <v>91</v>
      </c>
      <c r="B103" s="43">
        <v>42692.470833333333</v>
      </c>
      <c r="C103" s="43">
        <v>42717.486111111109</v>
      </c>
      <c r="D103" s="28">
        <v>1.1499999999999999</v>
      </c>
      <c r="E103" s="17" t="s">
        <v>120</v>
      </c>
      <c r="F103" s="2" t="s">
        <v>66</v>
      </c>
      <c r="G103" s="16" t="s">
        <v>20</v>
      </c>
      <c r="H103" s="23">
        <v>4.5730311361774995E-2</v>
      </c>
      <c r="I103" s="27">
        <v>121.75</v>
      </c>
      <c r="J103" s="27">
        <v>51.58</v>
      </c>
      <c r="K103" s="27">
        <v>166.71</v>
      </c>
      <c r="L103" s="27">
        <v>3.69</v>
      </c>
      <c r="M103" s="27">
        <v>9</v>
      </c>
      <c r="N103" s="17">
        <f t="shared" si="50"/>
        <v>30.617001247236967</v>
      </c>
      <c r="O103" s="17">
        <f t="shared" si="51"/>
        <v>12.971046606426961</v>
      </c>
      <c r="P103" s="15">
        <f t="shared" si="52"/>
        <v>43.58804785366393</v>
      </c>
      <c r="Q103" s="17">
        <f t="shared" si="53"/>
        <v>41.923287703711495</v>
      </c>
      <c r="R103" s="17">
        <f t="shared" si="54"/>
        <v>72.540288950948465</v>
      </c>
      <c r="S103" s="17">
        <f t="shared" si="55"/>
        <v>0.92794032527560089</v>
      </c>
      <c r="T103" s="17">
        <f t="shared" si="56"/>
        <v>2.2632690860380511</v>
      </c>
      <c r="U103" s="17">
        <f t="shared" si="57"/>
        <v>1.2239320913892406</v>
      </c>
      <c r="V103" s="17">
        <f t="shared" si="58"/>
        <v>0.5185249878756224</v>
      </c>
      <c r="W103" s="17">
        <f t="shared" si="59"/>
        <v>1.742457079264863</v>
      </c>
      <c r="X103" s="17">
        <f t="shared" si="60"/>
        <v>1.6759073425503104</v>
      </c>
      <c r="Y103" s="17">
        <f t="shared" si="61"/>
        <v>2.8998394339395515</v>
      </c>
      <c r="Z103" s="17">
        <f t="shared" si="62"/>
        <v>3.7094943878655424E-2</v>
      </c>
      <c r="AA103" s="17">
        <f t="shared" si="63"/>
        <v>9.0475472874769342E-2</v>
      </c>
      <c r="AB103" s="24" t="s">
        <v>121</v>
      </c>
    </row>
    <row r="104" spans="1:28">
      <c r="A104" s="2">
        <v>92</v>
      </c>
      <c r="B104" s="43">
        <v>42717.486111111109</v>
      </c>
      <c r="C104" s="43">
        <v>42724.559027777781</v>
      </c>
      <c r="D104" s="28">
        <v>2.31</v>
      </c>
      <c r="E104" s="17">
        <f>1370/824</f>
        <v>1.662621359223301</v>
      </c>
      <c r="F104" s="2" t="s">
        <v>66</v>
      </c>
      <c r="G104" s="16" t="s">
        <v>20</v>
      </c>
      <c r="H104" s="23">
        <v>4.8788999999999999E-2</v>
      </c>
      <c r="I104" s="27">
        <v>18.82</v>
      </c>
      <c r="J104" s="27">
        <v>1.03</v>
      </c>
      <c r="K104" s="27">
        <v>48.05</v>
      </c>
      <c r="L104" s="27">
        <v>0.92</v>
      </c>
      <c r="M104" s="27">
        <v>3.72</v>
      </c>
      <c r="N104" s="17">
        <f t="shared" si="50"/>
        <v>8.910656090512207</v>
      </c>
      <c r="O104" s="17">
        <f t="shared" si="51"/>
        <v>0.48767140134046616</v>
      </c>
      <c r="P104" s="15">
        <f t="shared" si="52"/>
        <v>9.3983274918526725</v>
      </c>
      <c r="Q104" s="17">
        <f t="shared" si="53"/>
        <v>22.750107606222713</v>
      </c>
      <c r="R104" s="17">
        <f t="shared" si="54"/>
        <v>31.660763696734918</v>
      </c>
      <c r="S104" s="17">
        <f t="shared" si="55"/>
        <v>0.4355899895468241</v>
      </c>
      <c r="T104" s="17">
        <f t="shared" si="56"/>
        <v>1.7612986533849846</v>
      </c>
      <c r="U104" s="17">
        <f t="shared" si="57"/>
        <v>1.2598276652261933</v>
      </c>
      <c r="V104" s="17">
        <f t="shared" si="58"/>
        <v>6.8949123017161482E-2</v>
      </c>
      <c r="W104" s="17">
        <f t="shared" si="59"/>
        <v>1.3287767882433545</v>
      </c>
      <c r="X104" s="17">
        <f t="shared" si="60"/>
        <v>3.2165100591986491</v>
      </c>
      <c r="Y104" s="17">
        <f t="shared" si="61"/>
        <v>4.4763377244248419</v>
      </c>
      <c r="Z104" s="17">
        <f t="shared" si="62"/>
        <v>6.1585624442513157E-2</v>
      </c>
      <c r="AA104" s="17">
        <f t="shared" si="63"/>
        <v>0.24902013361537934</v>
      </c>
      <c r="AB104" s="24" t="s">
        <v>122</v>
      </c>
    </row>
    <row r="105" spans="1:28">
      <c r="A105" s="2">
        <v>93</v>
      </c>
      <c r="B105" s="43">
        <v>42724.559027777781</v>
      </c>
      <c r="C105" s="43">
        <v>42752.461805555555</v>
      </c>
      <c r="D105" s="28">
        <v>2.355</v>
      </c>
      <c r="E105" s="17">
        <f>2720/824</f>
        <v>3.3009708737864076</v>
      </c>
      <c r="F105" s="2" t="s">
        <v>66</v>
      </c>
      <c r="G105" s="16" t="s">
        <v>20</v>
      </c>
      <c r="H105" s="23">
        <v>4.5730311361774995E-2</v>
      </c>
      <c r="I105" s="27">
        <v>44.31</v>
      </c>
      <c r="J105" s="27">
        <v>16.71</v>
      </c>
      <c r="K105" s="27">
        <v>79.55</v>
      </c>
      <c r="L105" s="27">
        <v>1.61</v>
      </c>
      <c r="M105" s="27">
        <v>1.9</v>
      </c>
      <c r="N105" s="17">
        <f t="shared" si="50"/>
        <v>22.818574134446855</v>
      </c>
      <c r="O105" s="17">
        <f t="shared" si="51"/>
        <v>8.6052442741278927</v>
      </c>
      <c r="P105" s="15">
        <f t="shared" si="52"/>
        <v>31.423818408574746</v>
      </c>
      <c r="Q105" s="17">
        <f t="shared" si="53"/>
        <v>40.966318492332363</v>
      </c>
      <c r="R105" s="17">
        <f t="shared" si="54"/>
        <v>63.784892626779218</v>
      </c>
      <c r="S105" s="17">
        <f t="shared" si="55"/>
        <v>0.82911090851860614</v>
      </c>
      <c r="T105" s="17">
        <f t="shared" si="56"/>
        <v>0.97845386719587046</v>
      </c>
      <c r="U105" s="17">
        <f t="shared" si="57"/>
        <v>0.81778862004998087</v>
      </c>
      <c r="V105" s="17">
        <f t="shared" si="58"/>
        <v>0.30840098941627575</v>
      </c>
      <c r="W105" s="17">
        <f t="shared" si="59"/>
        <v>1.1261896094662567</v>
      </c>
      <c r="X105" s="17">
        <f t="shared" si="60"/>
        <v>1.4681806527866388</v>
      </c>
      <c r="Y105" s="17">
        <f t="shared" si="61"/>
        <v>2.2859692728366197</v>
      </c>
      <c r="Z105" s="17">
        <f t="shared" si="62"/>
        <v>2.9714278453632798E-2</v>
      </c>
      <c r="AA105" s="17">
        <f t="shared" si="63"/>
        <v>3.5066539790001433E-2</v>
      </c>
      <c r="AB105" s="24" t="s">
        <v>123</v>
      </c>
    </row>
    <row r="106" spans="1:28">
      <c r="A106" s="2">
        <v>94</v>
      </c>
      <c r="B106" s="43">
        <v>42752.461805555555</v>
      </c>
      <c r="C106" s="43">
        <v>42766.430555555555</v>
      </c>
      <c r="D106" s="28">
        <v>2.62</v>
      </c>
      <c r="E106" s="17">
        <f>680/824</f>
        <v>0.82524271844660191</v>
      </c>
      <c r="F106" s="2" t="s">
        <v>66</v>
      </c>
      <c r="G106" s="16" t="s">
        <v>20</v>
      </c>
      <c r="H106" s="23">
        <v>4.8788999999999999E-2</v>
      </c>
      <c r="I106" s="27">
        <v>28.51</v>
      </c>
      <c r="J106" s="27">
        <v>4.8600000000000003</v>
      </c>
      <c r="K106" s="27">
        <v>9.75</v>
      </c>
      <c r="L106" s="27">
        <v>0.46</v>
      </c>
      <c r="M106" s="27">
        <v>1.88</v>
      </c>
      <c r="N106" s="17">
        <f t="shared" si="50"/>
        <v>15.310049396380332</v>
      </c>
      <c r="O106" s="17">
        <f t="shared" si="51"/>
        <v>2.6098505810736032</v>
      </c>
      <c r="P106" s="15">
        <f t="shared" si="52"/>
        <v>17.919899977453937</v>
      </c>
      <c r="Q106" s="17">
        <f t="shared" si="53"/>
        <v>5.2358113509192652</v>
      </c>
      <c r="R106" s="17">
        <f t="shared" si="54"/>
        <v>20.545860747299599</v>
      </c>
      <c r="S106" s="17">
        <f t="shared" si="55"/>
        <v>0.24702289450490891</v>
      </c>
      <c r="T106" s="17">
        <f t="shared" si="56"/>
        <v>1.0095718297157148</v>
      </c>
      <c r="U106" s="17">
        <f t="shared" si="57"/>
        <v>1.0960214332979208</v>
      </c>
      <c r="V106" s="17">
        <f t="shared" si="58"/>
        <v>0.18683494092696937</v>
      </c>
      <c r="W106" s="17">
        <f t="shared" si="59"/>
        <v>1.2828563742248904</v>
      </c>
      <c r="X106" s="17">
        <f t="shared" si="60"/>
        <v>0.37482318395842612</v>
      </c>
      <c r="Y106" s="17">
        <f t="shared" si="61"/>
        <v>1.4708446172563472</v>
      </c>
      <c r="Z106" s="17">
        <f t="shared" si="62"/>
        <v>1.7683965602141132E-2</v>
      </c>
      <c r="AA106" s="17">
        <f t="shared" si="63"/>
        <v>7.2273598547881152E-2</v>
      </c>
    </row>
    <row r="107" spans="1:28">
      <c r="A107" s="2">
        <v>95</v>
      </c>
      <c r="B107" s="43">
        <v>42766.430555555555</v>
      </c>
      <c r="C107" s="43">
        <v>42780.454861111109</v>
      </c>
      <c r="D107" s="28">
        <v>3.5649999999999999</v>
      </c>
      <c r="E107" s="17">
        <f>3668/824</f>
        <v>4.4514563106796112</v>
      </c>
      <c r="F107" s="2" t="s">
        <v>66</v>
      </c>
      <c r="G107" s="16" t="s">
        <v>20</v>
      </c>
      <c r="H107" s="23">
        <v>4.5730311361774995E-2</v>
      </c>
      <c r="I107" s="27">
        <v>25.48</v>
      </c>
      <c r="J107" s="27">
        <v>12.88</v>
      </c>
      <c r="K107" s="27">
        <v>76.31</v>
      </c>
      <c r="L107" s="27">
        <v>0.7</v>
      </c>
      <c r="M107" s="27">
        <v>6.01</v>
      </c>
      <c r="N107" s="17">
        <f t="shared" si="50"/>
        <v>19.863455396441509</v>
      </c>
      <c r="O107" s="17">
        <f t="shared" si="51"/>
        <v>10.040867563036366</v>
      </c>
      <c r="P107" s="15">
        <f t="shared" si="52"/>
        <v>29.904322959477874</v>
      </c>
      <c r="Q107" s="17">
        <f t="shared" si="53"/>
        <v>59.489022029138596</v>
      </c>
      <c r="R107" s="17">
        <f t="shared" si="54"/>
        <v>79.352477425580105</v>
      </c>
      <c r="S107" s="17">
        <f t="shared" si="55"/>
        <v>0.54569932407806343</v>
      </c>
      <c r="T107" s="17">
        <f t="shared" si="56"/>
        <v>4.6852184824416581</v>
      </c>
      <c r="U107" s="17">
        <f t="shared" si="57"/>
        <v>1.4163592855101472</v>
      </c>
      <c r="V107" s="17">
        <f t="shared" si="58"/>
        <v>0.71596183663150292</v>
      </c>
      <c r="W107" s="17">
        <f t="shared" si="59"/>
        <v>2.1323211221416498</v>
      </c>
      <c r="X107" s="17">
        <f t="shared" si="60"/>
        <v>4.2418515336451854</v>
      </c>
      <c r="Y107" s="17">
        <f t="shared" si="61"/>
        <v>5.6582108191553324</v>
      </c>
      <c r="Z107" s="17">
        <f t="shared" si="62"/>
        <v>3.8910969382146901E-2</v>
      </c>
      <c r="AA107" s="17">
        <f t="shared" si="63"/>
        <v>0.33407846569528976</v>
      </c>
      <c r="AB107" s="24" t="s">
        <v>124</v>
      </c>
    </row>
    <row r="108" spans="1:28">
      <c r="A108" s="2">
        <v>96</v>
      </c>
      <c r="B108" s="43">
        <v>42780.454861111109</v>
      </c>
      <c r="C108" s="43">
        <v>42794.555555555555</v>
      </c>
      <c r="D108" s="28">
        <v>2.1120000000000001</v>
      </c>
      <c r="E108" s="17">
        <f>1524/824</f>
        <v>1.8495145631067962</v>
      </c>
      <c r="F108" s="2" t="s">
        <v>66</v>
      </c>
      <c r="G108" s="16" t="s">
        <v>20</v>
      </c>
      <c r="H108" s="23">
        <v>4.8788999999999999E-2</v>
      </c>
      <c r="I108" s="27">
        <v>21.34</v>
      </c>
      <c r="J108" s="27">
        <v>16.66</v>
      </c>
      <c r="K108" s="27">
        <v>27.51</v>
      </c>
      <c r="L108" s="27">
        <v>0.91</v>
      </c>
      <c r="M108" s="27">
        <v>6.32</v>
      </c>
      <c r="N108" s="17">
        <f t="shared" si="50"/>
        <v>9.237754411855132</v>
      </c>
      <c r="O108" s="17">
        <f t="shared" si="51"/>
        <v>7.2118551312795924</v>
      </c>
      <c r="P108" s="15">
        <f t="shared" si="52"/>
        <v>16.449609543134724</v>
      </c>
      <c r="Q108" s="17">
        <f t="shared" si="53"/>
        <v>11.908651540306218</v>
      </c>
      <c r="R108" s="17">
        <f t="shared" si="54"/>
        <v>21.146405952161352</v>
      </c>
      <c r="S108" s="17">
        <f t="shared" si="55"/>
        <v>0.39392486011191052</v>
      </c>
      <c r="T108" s="17">
        <f t="shared" si="56"/>
        <v>2.7358297977003017</v>
      </c>
      <c r="U108" s="17">
        <f t="shared" si="57"/>
        <v>0.65512762142677305</v>
      </c>
      <c r="V108" s="17">
        <f t="shared" si="58"/>
        <v>0.51145389751499715</v>
      </c>
      <c r="W108" s="17">
        <f t="shared" si="59"/>
        <v>1.1665815189417701</v>
      </c>
      <c r="X108" s="17">
        <f t="shared" si="60"/>
        <v>0.844543620686529</v>
      </c>
      <c r="Y108" s="17">
        <f t="shared" si="61"/>
        <v>1.4996712421133023</v>
      </c>
      <c r="Z108" s="17">
        <f t="shared" si="62"/>
        <v>2.7936557427289763E-2</v>
      </c>
      <c r="AA108" s="17">
        <f t="shared" si="63"/>
        <v>0.19402092630821022</v>
      </c>
      <c r="AB108" s="24" t="s">
        <v>125</v>
      </c>
    </row>
    <row r="109" spans="1:28">
      <c r="A109" s="2">
        <v>97</v>
      </c>
      <c r="B109" s="43">
        <v>42794.555555555555</v>
      </c>
      <c r="C109" s="43">
        <v>42804.402777777781</v>
      </c>
      <c r="D109" s="28">
        <v>2.3849999999999998</v>
      </c>
      <c r="E109" s="17" t="s">
        <v>51</v>
      </c>
      <c r="F109" s="2" t="s">
        <v>66</v>
      </c>
      <c r="G109" s="16" t="s">
        <v>20</v>
      </c>
      <c r="H109" s="23">
        <v>4.5730311361774995E-2</v>
      </c>
      <c r="I109" s="27">
        <v>22.45</v>
      </c>
      <c r="J109" s="27">
        <v>28.07</v>
      </c>
      <c r="K109" s="27">
        <v>12.25</v>
      </c>
      <c r="L109" s="27">
        <v>0.68</v>
      </c>
      <c r="M109" s="27">
        <v>7.59</v>
      </c>
      <c r="N109" s="17">
        <f t="shared" si="50"/>
        <v>11.708481400097281</v>
      </c>
      <c r="O109" s="17">
        <f t="shared" si="51"/>
        <v>14.6395132695203</v>
      </c>
      <c r="P109" s="15">
        <f t="shared" si="52"/>
        <v>26.347994669617581</v>
      </c>
      <c r="Q109" s="17">
        <f t="shared" si="53"/>
        <v>6.3888150178704546</v>
      </c>
      <c r="R109" s="17">
        <f t="shared" si="54"/>
        <v>18.097296417967733</v>
      </c>
      <c r="S109" s="17">
        <f t="shared" si="55"/>
        <v>0.35464442548178848</v>
      </c>
      <c r="T109" s="17">
        <f t="shared" si="56"/>
        <v>3.9584576314805506</v>
      </c>
      <c r="U109" s="17">
        <f t="shared" si="57"/>
        <v>1.1890136259614361</v>
      </c>
      <c r="V109" s="17">
        <f t="shared" si="58"/>
        <v>1.4866642530395331</v>
      </c>
      <c r="W109" s="17">
        <f t="shared" si="59"/>
        <v>2.6756778790009692</v>
      </c>
      <c r="X109" s="17">
        <f t="shared" si="60"/>
        <v>0.64879362663820017</v>
      </c>
      <c r="Y109" s="17">
        <f t="shared" si="61"/>
        <v>1.8378072525996361</v>
      </c>
      <c r="Z109" s="17">
        <f t="shared" si="62"/>
        <v>3.601466662154907E-2</v>
      </c>
      <c r="AA109" s="17">
        <f t="shared" si="63"/>
        <v>0.40198723479052562</v>
      </c>
      <c r="AB109" s="24" t="s">
        <v>126</v>
      </c>
    </row>
    <row r="110" spans="1:28">
      <c r="A110" s="2">
        <v>98</v>
      </c>
      <c r="B110" s="43">
        <v>42804.402777777781</v>
      </c>
      <c r="C110" s="43">
        <v>42817.580555555556</v>
      </c>
      <c r="D110" s="28">
        <v>2.9180000000000001</v>
      </c>
      <c r="E110" s="17">
        <f>550/824</f>
        <v>0.66747572815533984</v>
      </c>
      <c r="F110" s="2" t="s">
        <v>66</v>
      </c>
      <c r="G110" s="16" t="s">
        <v>20</v>
      </c>
      <c r="H110" s="23">
        <v>4.8788999999999999E-2</v>
      </c>
      <c r="I110" s="27">
        <v>58.45</v>
      </c>
      <c r="J110" s="27">
        <v>101.9</v>
      </c>
      <c r="K110" s="27">
        <v>130.83000000000001</v>
      </c>
      <c r="L110" s="27">
        <v>7.07</v>
      </c>
      <c r="M110" s="27">
        <v>12.42</v>
      </c>
      <c r="N110" s="17">
        <f t="shared" si="50"/>
        <v>34.958105310623303</v>
      </c>
      <c r="O110" s="17">
        <f t="shared" si="51"/>
        <v>60.944926110393752</v>
      </c>
      <c r="P110" s="15">
        <f t="shared" si="52"/>
        <v>95.903031421017062</v>
      </c>
      <c r="Q110" s="17">
        <f t="shared" si="53"/>
        <v>78.247543503658619</v>
      </c>
      <c r="R110" s="17">
        <f t="shared" si="54"/>
        <v>113.20564881428191</v>
      </c>
      <c r="S110" s="17">
        <f t="shared" si="55"/>
        <v>4.2284654327819808</v>
      </c>
      <c r="T110" s="17">
        <f t="shared" si="56"/>
        <v>7.4282235749861654</v>
      </c>
      <c r="U110" s="17">
        <f t="shared" si="57"/>
        <v>2.6528073169955437</v>
      </c>
      <c r="V110" s="17">
        <f t="shared" si="58"/>
        <v>4.6248257587997594</v>
      </c>
      <c r="W110" s="17">
        <f t="shared" si="59"/>
        <v>7.2776330757953032</v>
      </c>
      <c r="X110" s="17">
        <f t="shared" si="60"/>
        <v>5.9378405694187677</v>
      </c>
      <c r="Y110" s="17">
        <f t="shared" si="61"/>
        <v>8.5906478864143114</v>
      </c>
      <c r="Z110" s="17">
        <f t="shared" si="62"/>
        <v>0.32087848984017958</v>
      </c>
      <c r="AA110" s="17">
        <f t="shared" si="63"/>
        <v>0.56369318865842</v>
      </c>
      <c r="AB110" s="24" t="s">
        <v>127</v>
      </c>
    </row>
    <row r="111" spans="1:28">
      <c r="A111" s="2">
        <v>99</v>
      </c>
      <c r="B111" s="43">
        <v>42817.580555555556</v>
      </c>
      <c r="C111" s="43">
        <v>42823.586111111108</v>
      </c>
      <c r="D111" s="28">
        <v>2.86</v>
      </c>
      <c r="E111" s="17">
        <f>316/824</f>
        <v>0.38349514563106796</v>
      </c>
      <c r="F111" s="2" t="s">
        <v>66</v>
      </c>
      <c r="G111" s="16" t="s">
        <v>20</v>
      </c>
      <c r="H111" s="23">
        <v>4.5730311361774995E-2</v>
      </c>
      <c r="I111" s="27">
        <v>16.96</v>
      </c>
      <c r="J111" s="27">
        <v>6.93</v>
      </c>
      <c r="K111" s="27">
        <v>9.59</v>
      </c>
      <c r="L111" s="27">
        <v>0.68</v>
      </c>
      <c r="M111" s="27">
        <v>1.59</v>
      </c>
      <c r="N111" s="17">
        <f t="shared" si="50"/>
        <v>10.606881640553361</v>
      </c>
      <c r="O111" s="17">
        <f t="shared" si="51"/>
        <v>4.3340618967591267</v>
      </c>
      <c r="P111" s="15">
        <f t="shared" si="52"/>
        <v>14.940943537312489</v>
      </c>
      <c r="Q111" s="17">
        <f t="shared" si="53"/>
        <v>5.9976412106666706</v>
      </c>
      <c r="R111" s="17">
        <f t="shared" si="54"/>
        <v>16.604522851220032</v>
      </c>
      <c r="S111" s="17">
        <f t="shared" si="55"/>
        <v>0.42527591483350741</v>
      </c>
      <c r="T111" s="17">
        <f t="shared" si="56"/>
        <v>0.99439515380187748</v>
      </c>
      <c r="U111" s="17">
        <f t="shared" si="57"/>
        <v>1.7661782565224673</v>
      </c>
      <c r="V111" s="17">
        <f t="shared" si="58"/>
        <v>0.72167543146820157</v>
      </c>
      <c r="W111" s="17">
        <f t="shared" si="59"/>
        <v>2.4878536879906692</v>
      </c>
      <c r="X111" s="17">
        <f t="shared" si="60"/>
        <v>0.99868216273882437</v>
      </c>
      <c r="Y111" s="17">
        <f t="shared" si="61"/>
        <v>2.764860419261292</v>
      </c>
      <c r="Z111" s="17">
        <f t="shared" si="62"/>
        <v>7.081375085113667E-2</v>
      </c>
      <c r="AA111" s="17">
        <f t="shared" si="63"/>
        <v>0.16557921154898131</v>
      </c>
    </row>
    <row r="112" spans="1:28">
      <c r="A112" s="2">
        <v>100</v>
      </c>
      <c r="B112" s="43">
        <v>42823.586111111108</v>
      </c>
      <c r="C112" s="43">
        <v>42844.430555555555</v>
      </c>
      <c r="D112" s="28">
        <v>1.0529999999999999</v>
      </c>
      <c r="E112" s="17">
        <f>210/824</f>
        <v>0.25485436893203883</v>
      </c>
      <c r="F112" s="2" t="s">
        <v>66</v>
      </c>
      <c r="G112" s="16" t="s">
        <v>20</v>
      </c>
      <c r="H112" s="23">
        <v>4.8788999999999999E-2</v>
      </c>
      <c r="I112" s="27">
        <v>202.71</v>
      </c>
      <c r="J112" s="27">
        <v>208.96</v>
      </c>
      <c r="K112" s="27">
        <v>358.05</v>
      </c>
      <c r="L112" s="27">
        <v>24.35</v>
      </c>
      <c r="M112" s="27">
        <v>40.43</v>
      </c>
      <c r="N112" s="17">
        <f t="shared" si="50"/>
        <v>43.750359712230221</v>
      </c>
      <c r="O112" s="17">
        <f t="shared" ref="O112" si="64">$D112*J112/($H112*100)</f>
        <v>45.099280575539566</v>
      </c>
      <c r="P112" s="15">
        <f t="shared" ref="P112" si="65">N112+O112</f>
        <v>88.849640287769788</v>
      </c>
      <c r="Q112" s="17">
        <f t="shared" si="53"/>
        <v>77.276978417266179</v>
      </c>
      <c r="R112" s="17">
        <f t="shared" si="54"/>
        <v>121.0273381294964</v>
      </c>
      <c r="S112" s="17">
        <f t="shared" si="55"/>
        <v>5.255395683453238</v>
      </c>
      <c r="T112" s="17">
        <f t="shared" si="56"/>
        <v>8.7258992805755398</v>
      </c>
      <c r="U112" s="17">
        <f t="shared" si="57"/>
        <v>2.0988978539980234</v>
      </c>
      <c r="V112" s="17">
        <f t="shared" ref="V112" si="66">O112/($C112-$B112)</f>
        <v>2.1636115414702135</v>
      </c>
      <c r="W112" s="17">
        <f t="shared" ref="W112" si="67">P112/($C112-$B112)</f>
        <v>4.2625093954682374</v>
      </c>
      <c r="X112" s="17">
        <f t="shared" si="60"/>
        <v>3.7073177279068235</v>
      </c>
      <c r="Y112" s="17">
        <f t="shared" si="61"/>
        <v>5.8062155819048469</v>
      </c>
      <c r="Z112" s="17">
        <f t="shared" si="62"/>
        <v>0.2521245263916525</v>
      </c>
      <c r="AA112" s="17">
        <f t="shared" si="63"/>
        <v>0.41861990152010303</v>
      </c>
      <c r="AB112" s="24" t="s">
        <v>128</v>
      </c>
    </row>
    <row r="113" spans="1:28">
      <c r="A113" s="2">
        <v>101</v>
      </c>
      <c r="B113" s="43">
        <v>42844.430555555555</v>
      </c>
      <c r="C113" s="43">
        <v>42865.510416666664</v>
      </c>
      <c r="D113" s="28">
        <v>1.452</v>
      </c>
      <c r="E113" s="17">
        <f>857/824</f>
        <v>1.0400485436893203</v>
      </c>
      <c r="F113" s="2" t="s">
        <v>66</v>
      </c>
      <c r="G113" s="16" t="s">
        <v>20</v>
      </c>
      <c r="H113" s="23">
        <v>4.5730311361774995E-2</v>
      </c>
      <c r="I113" s="27">
        <v>127.55</v>
      </c>
      <c r="J113" s="27">
        <v>209.3</v>
      </c>
      <c r="K113" s="27">
        <v>794.41</v>
      </c>
      <c r="L113" s="27">
        <v>36.19</v>
      </c>
      <c r="M113" s="27">
        <v>63.62</v>
      </c>
      <c r="N113" s="17" t="s">
        <v>112</v>
      </c>
      <c r="O113" s="17" t="s">
        <v>112</v>
      </c>
      <c r="P113" s="17" t="s">
        <v>112</v>
      </c>
      <c r="Q113" s="17" t="s">
        <v>112</v>
      </c>
      <c r="R113" s="17" t="s">
        <v>112</v>
      </c>
      <c r="S113" s="17" t="s">
        <v>112</v>
      </c>
      <c r="T113" s="17" t="s">
        <v>112</v>
      </c>
      <c r="U113" s="17" t="s">
        <v>112</v>
      </c>
      <c r="V113" s="17" t="s">
        <v>112</v>
      </c>
      <c r="W113" s="17" t="s">
        <v>112</v>
      </c>
      <c r="X113" s="17" t="s">
        <v>112</v>
      </c>
      <c r="Y113" s="17" t="s">
        <v>112</v>
      </c>
      <c r="Z113" s="17" t="s">
        <v>112</v>
      </c>
      <c r="AA113" s="17" t="s">
        <v>112</v>
      </c>
      <c r="AB113" s="24" t="s">
        <v>129</v>
      </c>
    </row>
    <row r="114" spans="1:28">
      <c r="A114" s="2">
        <v>102</v>
      </c>
      <c r="B114" s="43">
        <v>42865.510416666664</v>
      </c>
      <c r="C114" s="43">
        <v>42881.597222222219</v>
      </c>
      <c r="D114" s="28">
        <v>0.28000000000000003</v>
      </c>
      <c r="E114" s="17" t="s">
        <v>21</v>
      </c>
      <c r="F114" s="2" t="s">
        <v>19</v>
      </c>
      <c r="G114" s="16" t="s">
        <v>20</v>
      </c>
      <c r="H114" s="23">
        <v>4.8788999999999999E-2</v>
      </c>
      <c r="I114" s="27">
        <v>184.92</v>
      </c>
      <c r="J114" s="27">
        <v>926.05</v>
      </c>
      <c r="K114" s="27">
        <v>1641.59</v>
      </c>
      <c r="L114" s="27">
        <v>42.98</v>
      </c>
      <c r="M114" s="27">
        <v>59.87</v>
      </c>
      <c r="N114" s="17" t="s">
        <v>112</v>
      </c>
      <c r="O114" s="17" t="s">
        <v>112</v>
      </c>
      <c r="P114" s="17" t="s">
        <v>112</v>
      </c>
      <c r="Q114" s="17" t="s">
        <v>112</v>
      </c>
      <c r="R114" s="17" t="s">
        <v>112</v>
      </c>
      <c r="S114" s="17" t="s">
        <v>112</v>
      </c>
      <c r="T114" s="17" t="s">
        <v>112</v>
      </c>
      <c r="U114" s="17" t="s">
        <v>112</v>
      </c>
      <c r="V114" s="17" t="s">
        <v>112</v>
      </c>
      <c r="W114" s="17" t="s">
        <v>112</v>
      </c>
      <c r="X114" s="17" t="s">
        <v>112</v>
      </c>
      <c r="Y114" s="17" t="s">
        <v>112</v>
      </c>
      <c r="Z114" s="17" t="s">
        <v>112</v>
      </c>
      <c r="AA114" s="17" t="s">
        <v>112</v>
      </c>
      <c r="AB114" s="24" t="s">
        <v>137</v>
      </c>
    </row>
    <row r="115" spans="1:28">
      <c r="A115" s="2">
        <v>103</v>
      </c>
      <c r="B115" s="43">
        <v>42881.597222222219</v>
      </c>
      <c r="C115" s="43">
        <v>42899.645833333336</v>
      </c>
      <c r="D115" s="28">
        <v>0.5</v>
      </c>
      <c r="E115" s="17" t="s">
        <v>21</v>
      </c>
      <c r="F115" s="2" t="s">
        <v>66</v>
      </c>
      <c r="G115" s="16" t="s">
        <v>20</v>
      </c>
      <c r="H115" s="23">
        <v>4.5730311361774995E-2</v>
      </c>
      <c r="I115" s="27">
        <v>199.06</v>
      </c>
      <c r="J115" s="27">
        <v>244.92</v>
      </c>
      <c r="K115" s="27">
        <v>1615.8</v>
      </c>
      <c r="L115" s="27">
        <v>58.07</v>
      </c>
      <c r="M115" s="27">
        <v>107.09</v>
      </c>
      <c r="N115" s="17" t="s">
        <v>112</v>
      </c>
      <c r="O115" s="17" t="s">
        <v>112</v>
      </c>
      <c r="P115" s="17" t="s">
        <v>112</v>
      </c>
      <c r="Q115" s="17" t="s">
        <v>112</v>
      </c>
      <c r="R115" s="17" t="s">
        <v>112</v>
      </c>
      <c r="S115" s="17" t="s">
        <v>112</v>
      </c>
      <c r="T115" s="17" t="s">
        <v>112</v>
      </c>
      <c r="U115" s="17" t="s">
        <v>112</v>
      </c>
      <c r="V115" s="17" t="s">
        <v>112</v>
      </c>
      <c r="W115" s="17" t="s">
        <v>112</v>
      </c>
      <c r="X115" s="17" t="s">
        <v>112</v>
      </c>
      <c r="Y115" s="17" t="s">
        <v>112</v>
      </c>
      <c r="Z115" s="17" t="s">
        <v>112</v>
      </c>
      <c r="AA115" s="17" t="s">
        <v>112</v>
      </c>
      <c r="AB115" s="24" t="s">
        <v>138</v>
      </c>
    </row>
    <row r="116" spans="1:28">
      <c r="A116" s="2"/>
      <c r="B116" s="43">
        <v>42899.645833333336</v>
      </c>
      <c r="C116" s="43">
        <v>42912.415277777778</v>
      </c>
      <c r="D116" s="28" t="s">
        <v>54</v>
      </c>
      <c r="E116" s="17" t="s">
        <v>21</v>
      </c>
      <c r="F116" s="2" t="s">
        <v>21</v>
      </c>
      <c r="G116" s="16" t="s">
        <v>20</v>
      </c>
      <c r="H116" s="23">
        <v>4.8788999999999999E-2</v>
      </c>
      <c r="I116" s="27" t="s">
        <v>21</v>
      </c>
      <c r="J116" s="27" t="s">
        <v>21</v>
      </c>
      <c r="K116" s="27" t="s">
        <v>21</v>
      </c>
      <c r="L116" s="27" t="s">
        <v>21</v>
      </c>
      <c r="M116" s="27" t="s">
        <v>21</v>
      </c>
      <c r="N116" s="17" t="s">
        <v>112</v>
      </c>
      <c r="O116" s="17" t="s">
        <v>112</v>
      </c>
      <c r="P116" s="17" t="s">
        <v>112</v>
      </c>
      <c r="Q116" s="17" t="s">
        <v>112</v>
      </c>
      <c r="R116" s="17" t="s">
        <v>112</v>
      </c>
      <c r="S116" s="17" t="s">
        <v>112</v>
      </c>
      <c r="T116" s="17" t="s">
        <v>112</v>
      </c>
      <c r="U116" s="17" t="s">
        <v>112</v>
      </c>
      <c r="V116" s="17" t="s">
        <v>112</v>
      </c>
      <c r="W116" s="17" t="s">
        <v>112</v>
      </c>
      <c r="X116" s="17" t="s">
        <v>112</v>
      </c>
      <c r="Y116" s="17" t="s">
        <v>112</v>
      </c>
      <c r="Z116" s="17" t="s">
        <v>112</v>
      </c>
      <c r="AA116" s="17" t="s">
        <v>112</v>
      </c>
      <c r="AB116" s="24" t="s">
        <v>139</v>
      </c>
    </row>
    <row r="117" spans="1:28" s="32" customFormat="1">
      <c r="A117" s="38">
        <v>104</v>
      </c>
      <c r="B117" s="45">
        <v>42912.415277777778</v>
      </c>
      <c r="C117" s="45">
        <v>42935.40625</v>
      </c>
      <c r="D117" s="29">
        <v>0.5</v>
      </c>
      <c r="E117" s="14" t="s">
        <v>21</v>
      </c>
      <c r="F117" s="38" t="s">
        <v>66</v>
      </c>
      <c r="G117" s="13" t="s">
        <v>20</v>
      </c>
      <c r="H117" s="25">
        <v>4.5730311361774995E-2</v>
      </c>
      <c r="I117" s="30">
        <v>174.51</v>
      </c>
      <c r="J117" s="30">
        <v>61.71</v>
      </c>
      <c r="K117" s="30">
        <v>999.06</v>
      </c>
      <c r="L117" s="30">
        <v>37.909999999999997</v>
      </c>
      <c r="M117" s="30">
        <v>119.81</v>
      </c>
      <c r="N117" s="14" t="s">
        <v>112</v>
      </c>
      <c r="O117" s="14" t="s">
        <v>112</v>
      </c>
      <c r="P117" s="14" t="s">
        <v>112</v>
      </c>
      <c r="Q117" s="14" t="s">
        <v>112</v>
      </c>
      <c r="R117" s="14" t="s">
        <v>112</v>
      </c>
      <c r="S117" s="14" t="s">
        <v>112</v>
      </c>
      <c r="T117" s="14" t="s">
        <v>112</v>
      </c>
      <c r="U117" s="14" t="s">
        <v>112</v>
      </c>
      <c r="V117" s="14" t="s">
        <v>112</v>
      </c>
      <c r="W117" s="14" t="s">
        <v>112</v>
      </c>
      <c r="X117" s="14" t="s">
        <v>112</v>
      </c>
      <c r="Y117" s="14" t="s">
        <v>112</v>
      </c>
      <c r="Z117" s="14" t="s">
        <v>112</v>
      </c>
      <c r="AA117" s="14" t="s">
        <v>112</v>
      </c>
      <c r="AB117" s="32" t="s">
        <v>140</v>
      </c>
    </row>
    <row r="118" spans="1:28">
      <c r="A118" s="2">
        <v>105</v>
      </c>
      <c r="B118" s="43">
        <v>42935.40625</v>
      </c>
      <c r="C118" s="43">
        <v>42943.447222222225</v>
      </c>
      <c r="D118" s="28">
        <v>1.1719999999999999</v>
      </c>
      <c r="E118" s="17">
        <v>0</v>
      </c>
      <c r="F118" s="2" t="s">
        <v>19</v>
      </c>
      <c r="G118" s="16" t="s">
        <v>20</v>
      </c>
      <c r="H118" s="23">
        <v>4.8788999999999999E-2</v>
      </c>
      <c r="I118" s="27">
        <v>116.29</v>
      </c>
      <c r="J118" s="27">
        <v>281.42</v>
      </c>
      <c r="K118" s="27">
        <v>387.96</v>
      </c>
      <c r="L118" s="27">
        <v>3.43</v>
      </c>
      <c r="M118" s="27">
        <v>16.350000000000001</v>
      </c>
      <c r="N118" s="17">
        <f t="shared" ref="N118:N122" si="68">$D118*I118/($H118*100)</f>
        <v>27.934960749349237</v>
      </c>
      <c r="O118" s="17">
        <f t="shared" ref="O118:O122" si="69">$D118*J118/($H118*100)</f>
        <v>67.602172620877653</v>
      </c>
      <c r="P118" s="15">
        <f t="shared" ref="P118:P122" si="70">N118+O118</f>
        <v>95.537133370226883</v>
      </c>
      <c r="Q118" s="17">
        <f t="shared" ref="Q118:Q122" si="71">$D118*K118/($H118*100)</f>
        <v>93.195007071266062</v>
      </c>
      <c r="R118" s="17">
        <f t="shared" ref="R118:R122" si="72">Q118+N118</f>
        <v>121.12996782061529</v>
      </c>
      <c r="S118" s="17">
        <f t="shared" ref="S118:S122" si="73">$D118*L118/($H118*100)</f>
        <v>0.82394802107032328</v>
      </c>
      <c r="T118" s="17">
        <f t="shared" ref="T118:T122" si="74">$D118*M118/($H118*100)</f>
        <v>3.9275656397958563</v>
      </c>
      <c r="U118" s="17">
        <f t="shared" ref="U118:U122" si="75">N118/($C118-$B118)</f>
        <v>3.474077509202</v>
      </c>
      <c r="V118" s="17">
        <f t="shared" ref="V118:V122" si="76">O118/($C118-$B118)</f>
        <v>8.4072137986037223</v>
      </c>
      <c r="W118" s="17">
        <f t="shared" ref="W118:W122" si="77">P118/($C118-$B118)</f>
        <v>11.881291307805721</v>
      </c>
      <c r="X118" s="17">
        <f t="shared" ref="X118:X122" si="78">Q118/($C118-$B118)</f>
        <v>11.590017288416957</v>
      </c>
      <c r="Y118" s="17">
        <f t="shared" ref="Y118:Y122" si="79">R118/($C118-$B118)</f>
        <v>15.064094797618957</v>
      </c>
      <c r="Z118" s="17">
        <f t="shared" ref="Z118:Z122" si="80">S118/($C118-$B118)</f>
        <v>0.10246870630804765</v>
      </c>
      <c r="AA118" s="17">
        <f t="shared" ref="AA118:AA122" si="81">T118/($C118-$B118)</f>
        <v>0.48844412482116017</v>
      </c>
    </row>
    <row r="119" spans="1:28">
      <c r="A119" s="2">
        <v>106</v>
      </c>
      <c r="B119" s="43">
        <v>42943.447222222225</v>
      </c>
      <c r="C119" s="43">
        <v>42955.40902777778</v>
      </c>
      <c r="D119" s="28">
        <v>0.45200000000000001</v>
      </c>
      <c r="E119" s="17" t="s">
        <v>51</v>
      </c>
      <c r="F119" s="2" t="s">
        <v>52</v>
      </c>
      <c r="G119" s="16" t="s">
        <v>20</v>
      </c>
      <c r="H119" s="23">
        <v>4.5730311361774995E-2</v>
      </c>
      <c r="I119" s="27">
        <v>364.53</v>
      </c>
      <c r="J119" s="27">
        <v>303.77</v>
      </c>
      <c r="K119" s="27">
        <v>813.78</v>
      </c>
      <c r="L119" s="27">
        <v>5.95</v>
      </c>
      <c r="M119" s="27">
        <v>43.86</v>
      </c>
      <c r="N119" s="17">
        <f t="shared" si="68"/>
        <v>36.030272940088864</v>
      </c>
      <c r="O119" s="17">
        <f t="shared" si="69"/>
        <v>30.02473324832193</v>
      </c>
      <c r="P119" s="15">
        <f t="shared" si="70"/>
        <v>66.0550061884108</v>
      </c>
      <c r="Q119" s="17">
        <f t="shared" si="71"/>
        <v>80.434300368105539</v>
      </c>
      <c r="R119" s="17">
        <f t="shared" si="72"/>
        <v>116.4645733081944</v>
      </c>
      <c r="S119" s="17">
        <f t="shared" si="73"/>
        <v>0.58810008502325939</v>
      </c>
      <c r="T119" s="17">
        <f t="shared" si="74"/>
        <v>4.3351377696000259</v>
      </c>
      <c r="U119" s="17">
        <f t="shared" si="75"/>
        <v>3.0121099003617688</v>
      </c>
      <c r="V119" s="17">
        <f t="shared" si="76"/>
        <v>2.5100502686552395</v>
      </c>
      <c r="W119" s="17">
        <f t="shared" si="77"/>
        <v>5.5221601690170088</v>
      </c>
      <c r="X119" s="17">
        <f t="shared" si="78"/>
        <v>6.7242608145184208</v>
      </c>
      <c r="Y119" s="17">
        <f t="shared" si="79"/>
        <v>9.7363707148801897</v>
      </c>
      <c r="Z119" s="17">
        <f t="shared" si="80"/>
        <v>4.9164825685547212E-2</v>
      </c>
      <c r="AA119" s="17">
        <f t="shared" si="81"/>
        <v>0.36241500076774802</v>
      </c>
      <c r="AB119" s="24" t="s">
        <v>146</v>
      </c>
    </row>
    <row r="120" spans="1:28">
      <c r="A120" s="2">
        <v>107</v>
      </c>
      <c r="B120" s="43">
        <v>42955.40902777778</v>
      </c>
      <c r="C120" s="43">
        <v>42969.413194444445</v>
      </c>
      <c r="D120" s="28">
        <v>0.5</v>
      </c>
      <c r="E120" s="17">
        <f>67/824</f>
        <v>8.1310679611650491E-2</v>
      </c>
      <c r="F120" s="2" t="s">
        <v>66</v>
      </c>
      <c r="G120" s="16" t="s">
        <v>20</v>
      </c>
      <c r="H120" s="23">
        <v>4.8788999999999999E-2</v>
      </c>
      <c r="I120" s="27">
        <v>393.39</v>
      </c>
      <c r="J120" s="27">
        <v>462.26</v>
      </c>
      <c r="K120" s="27">
        <v>918.6</v>
      </c>
      <c r="L120" s="27">
        <v>4.8099999999999996</v>
      </c>
      <c r="M120" s="27">
        <v>51.75</v>
      </c>
      <c r="N120" s="17">
        <f t="shared" si="68"/>
        <v>40.315439955727726</v>
      </c>
      <c r="O120" s="17">
        <f t="shared" si="69"/>
        <v>47.373383344606367</v>
      </c>
      <c r="P120" s="15">
        <f t="shared" si="70"/>
        <v>87.688823300334093</v>
      </c>
      <c r="Q120" s="17">
        <f t="shared" si="71"/>
        <v>94.140072557338755</v>
      </c>
      <c r="R120" s="17">
        <f t="shared" si="72"/>
        <v>134.45551251306648</v>
      </c>
      <c r="S120" s="17">
        <f t="shared" si="73"/>
        <v>0.49293898214761522</v>
      </c>
      <c r="T120" s="17">
        <f t="shared" si="74"/>
        <v>5.303449548053865</v>
      </c>
      <c r="U120" s="17">
        <f t="shared" si="75"/>
        <v>2.8788174916320513</v>
      </c>
      <c r="V120" s="17">
        <f t="shared" si="76"/>
        <v>3.382806308451745</v>
      </c>
      <c r="W120" s="17">
        <f t="shared" si="77"/>
        <v>6.2616238000837967</v>
      </c>
      <c r="X120" s="17">
        <f t="shared" si="78"/>
        <v>6.7222902153415252</v>
      </c>
      <c r="Y120" s="17">
        <f t="shared" si="79"/>
        <v>9.6011077069735773</v>
      </c>
      <c r="Z120" s="17">
        <f t="shared" si="80"/>
        <v>3.5199451269097244E-2</v>
      </c>
      <c r="AA120" s="17">
        <f t="shared" si="81"/>
        <v>0.37870511500536025</v>
      </c>
      <c r="AB120" s="24" t="s">
        <v>142</v>
      </c>
    </row>
    <row r="121" spans="1:28">
      <c r="A121" s="2">
        <v>108</v>
      </c>
      <c r="B121" s="43">
        <v>42969.413194444445</v>
      </c>
      <c r="C121" s="43">
        <v>42983.378472222219</v>
      </c>
      <c r="D121" s="28">
        <v>0.5</v>
      </c>
      <c r="E121" s="17" t="s">
        <v>51</v>
      </c>
      <c r="F121" s="2" t="s">
        <v>66</v>
      </c>
      <c r="G121" s="16" t="s">
        <v>20</v>
      </c>
      <c r="H121" s="23">
        <v>4.5730311361774995E-2</v>
      </c>
      <c r="I121" s="27">
        <v>327.63</v>
      </c>
      <c r="J121" s="27">
        <v>265.17</v>
      </c>
      <c r="K121" s="27">
        <v>791.17</v>
      </c>
      <c r="L121" s="27">
        <v>5.95</v>
      </c>
      <c r="M121" s="27">
        <v>50.09</v>
      </c>
      <c r="N121" s="17">
        <f t="shared" si="68"/>
        <v>35.821973461770369</v>
      </c>
      <c r="O121" s="17">
        <f t="shared" si="69"/>
        <v>28.992805002159905</v>
      </c>
      <c r="P121" s="15">
        <f t="shared" si="70"/>
        <v>64.814778463930281</v>
      </c>
      <c r="Q121" s="17">
        <f t="shared" si="71"/>
        <v>86.503893855107478</v>
      </c>
      <c r="R121" s="17">
        <f t="shared" si="72"/>
        <v>122.32586731687785</v>
      </c>
      <c r="S121" s="17">
        <f t="shared" si="73"/>
        <v>0.65055319139741086</v>
      </c>
      <c r="T121" s="17">
        <f t="shared" si="74"/>
        <v>5.4766738415287914</v>
      </c>
      <c r="U121" s="17">
        <f t="shared" si="75"/>
        <v>2.5650741812513309</v>
      </c>
      <c r="V121" s="17">
        <f t="shared" si="76"/>
        <v>2.0760636102994701</v>
      </c>
      <c r="W121" s="17">
        <f t="shared" si="77"/>
        <v>4.6411377915508014</v>
      </c>
      <c r="X121" s="17">
        <f t="shared" si="78"/>
        <v>6.1942121905216716</v>
      </c>
      <c r="Y121" s="17">
        <f t="shared" si="79"/>
        <v>8.759286371773003</v>
      </c>
      <c r="Z121" s="17">
        <f t="shared" si="80"/>
        <v>4.6583619871334796E-2</v>
      </c>
      <c r="AA121" s="17">
        <f t="shared" si="81"/>
        <v>0.39216361669834621</v>
      </c>
      <c r="AB121" s="24" t="s">
        <v>143</v>
      </c>
    </row>
    <row r="122" spans="1:28">
      <c r="A122" s="2">
        <v>109</v>
      </c>
      <c r="B122" s="43">
        <v>42983.378472222219</v>
      </c>
      <c r="C122" s="43">
        <v>42990.369444444441</v>
      </c>
      <c r="D122" s="28">
        <v>1.61</v>
      </c>
      <c r="E122" s="17">
        <f>360/824</f>
        <v>0.43689320388349512</v>
      </c>
      <c r="F122" s="2" t="s">
        <v>66</v>
      </c>
      <c r="G122" s="16" t="s">
        <v>20</v>
      </c>
      <c r="H122" s="23">
        <v>4.8788999999999999E-2</v>
      </c>
      <c r="I122" s="27">
        <v>156.52000000000001</v>
      </c>
      <c r="J122" s="27">
        <v>326.60000000000002</v>
      </c>
      <c r="K122" s="27">
        <v>422.38</v>
      </c>
      <c r="L122" s="27">
        <v>1.37</v>
      </c>
      <c r="M122" s="27">
        <v>8.51</v>
      </c>
      <c r="N122" s="17">
        <f t="shared" si="68"/>
        <v>51.650413002930996</v>
      </c>
      <c r="O122" s="17">
        <f t="shared" si="69"/>
        <v>107.77552317120663</v>
      </c>
      <c r="P122" s="15">
        <f t="shared" si="70"/>
        <v>159.42593617413763</v>
      </c>
      <c r="Q122" s="17">
        <f t="shared" si="71"/>
        <v>139.38219680665728</v>
      </c>
      <c r="R122" s="17">
        <f t="shared" si="72"/>
        <v>191.03260980958828</v>
      </c>
      <c r="S122" s="17">
        <f t="shared" si="73"/>
        <v>0.45208961036299172</v>
      </c>
      <c r="T122" s="17">
        <f t="shared" si="74"/>
        <v>2.8082354629117221</v>
      </c>
      <c r="U122" s="17">
        <f t="shared" si="75"/>
        <v>7.3881588084060867</v>
      </c>
      <c r="V122" s="17">
        <f t="shared" si="76"/>
        <v>15.416385553446382</v>
      </c>
      <c r="W122" s="17">
        <f t="shared" si="77"/>
        <v>22.804544361852468</v>
      </c>
      <c r="X122" s="17">
        <f t="shared" si="78"/>
        <v>19.937455389052921</v>
      </c>
      <c r="Y122" s="17">
        <f t="shared" si="79"/>
        <v>27.325614197459011</v>
      </c>
      <c r="Z122" s="17">
        <f t="shared" si="80"/>
        <v>6.4667630766140682E-2</v>
      </c>
      <c r="AA122" s="17">
        <f t="shared" si="81"/>
        <v>0.40169455315318037</v>
      </c>
      <c r="AB122" s="24" t="s">
        <v>147</v>
      </c>
    </row>
    <row r="123" spans="1:28" s="44" customFormat="1">
      <c r="A123" s="42">
        <v>110</v>
      </c>
      <c r="B123" s="43">
        <v>42990.369444444441</v>
      </c>
      <c r="C123" s="43">
        <v>43018.361111111109</v>
      </c>
      <c r="D123" s="28">
        <v>0.5</v>
      </c>
      <c r="E123" s="19">
        <f>250/824</f>
        <v>0.30339805825242716</v>
      </c>
      <c r="F123" s="42" t="s">
        <v>66</v>
      </c>
      <c r="G123" s="20" t="s">
        <v>20</v>
      </c>
      <c r="H123" s="26">
        <v>4.5730311361774995E-2</v>
      </c>
      <c r="I123" s="27">
        <v>612.75</v>
      </c>
      <c r="J123" s="27">
        <v>341.75</v>
      </c>
      <c r="K123" s="27">
        <v>489.51</v>
      </c>
      <c r="L123" s="27">
        <v>10.02</v>
      </c>
      <c r="M123" s="27">
        <v>52</v>
      </c>
      <c r="N123" s="19" t="s">
        <v>111</v>
      </c>
      <c r="O123" s="19" t="s">
        <v>111</v>
      </c>
      <c r="P123" s="19" t="s">
        <v>111</v>
      </c>
      <c r="Q123" s="19" t="s">
        <v>111</v>
      </c>
      <c r="R123" s="19" t="s">
        <v>111</v>
      </c>
      <c r="S123" s="19" t="s">
        <v>111</v>
      </c>
      <c r="T123" s="19" t="s">
        <v>111</v>
      </c>
      <c r="U123" s="19" t="s">
        <v>111</v>
      </c>
      <c r="V123" s="19" t="s">
        <v>111</v>
      </c>
      <c r="W123" s="19" t="s">
        <v>111</v>
      </c>
      <c r="X123" s="19" t="s">
        <v>111</v>
      </c>
      <c r="Y123" s="19" t="s">
        <v>111</v>
      </c>
      <c r="Z123" s="19" t="s">
        <v>111</v>
      </c>
      <c r="AA123" s="19" t="s">
        <v>111</v>
      </c>
      <c r="AB123" s="181" t="s">
        <v>144</v>
      </c>
    </row>
    <row r="124" spans="1:28">
      <c r="A124" s="2">
        <v>111</v>
      </c>
      <c r="B124" s="43">
        <v>43018.361111111109</v>
      </c>
      <c r="C124" s="43">
        <v>43026.508333333331</v>
      </c>
      <c r="D124" s="28">
        <v>1.9650000000000001</v>
      </c>
      <c r="E124" s="17">
        <v>0</v>
      </c>
      <c r="F124" s="2" t="s">
        <v>19</v>
      </c>
      <c r="G124" s="16" t="s">
        <v>20</v>
      </c>
      <c r="H124" s="23">
        <v>4.8788999999999999E-2</v>
      </c>
      <c r="I124" s="27">
        <v>54.78</v>
      </c>
      <c r="J124" s="27">
        <v>171.09</v>
      </c>
      <c r="K124" s="27" t="s">
        <v>21</v>
      </c>
      <c r="L124" s="27">
        <v>4.0999999999999996</v>
      </c>
      <c r="M124" s="27" t="s">
        <v>21</v>
      </c>
      <c r="N124" s="17">
        <f t="shared" ref="N124:N125" si="82">$D124*I124/($H124*100)</f>
        <v>22.06290352333518</v>
      </c>
      <c r="O124" s="17">
        <f t="shared" ref="O124:O125" si="83">$D124*J124/($H124*100)</f>
        <v>68.907304925290546</v>
      </c>
      <c r="P124" s="15">
        <f t="shared" ref="P124:P125" si="84">N124+O124</f>
        <v>90.970208448625726</v>
      </c>
      <c r="Q124" s="17" t="s">
        <v>21</v>
      </c>
      <c r="R124" s="17" t="s">
        <v>21</v>
      </c>
      <c r="S124" s="17">
        <f t="shared" ref="S124:S125" si="85">$D124*L124/($H124*100)</f>
        <v>1.6512943491360759</v>
      </c>
      <c r="T124" s="17" t="s">
        <v>21</v>
      </c>
      <c r="U124" s="17">
        <f t="shared" ref="U124:U125" si="86">N124/($C124-$B124)</f>
        <v>2.7080277082853663</v>
      </c>
      <c r="V124" s="17">
        <f t="shared" ref="V124:V125" si="87">O124/($C124-$B124)</f>
        <v>8.4577667143217123</v>
      </c>
      <c r="W124" s="17">
        <f t="shared" ref="W124:W125" si="88">P124/($C124-$B124)</f>
        <v>11.165794422607078</v>
      </c>
      <c r="X124" s="17" t="s">
        <v>21</v>
      </c>
      <c r="Y124" s="17" t="s">
        <v>21</v>
      </c>
      <c r="Z124" s="17">
        <f t="shared" ref="Z124:Z125" si="89">S124/($C124-$B124)</f>
        <v>0.20268188397170506</v>
      </c>
      <c r="AA124" s="17" t="s">
        <v>21</v>
      </c>
      <c r="AB124" s="24" t="s">
        <v>148</v>
      </c>
    </row>
    <row r="125" spans="1:28">
      <c r="A125" s="2">
        <v>112</v>
      </c>
      <c r="B125" s="43">
        <v>43026.508333333331</v>
      </c>
      <c r="C125" s="43">
        <v>43040.447222222225</v>
      </c>
      <c r="D125" s="28">
        <v>1.83</v>
      </c>
      <c r="E125" s="17">
        <f>95/824</f>
        <v>0.11529126213592233</v>
      </c>
      <c r="F125" s="2" t="s">
        <v>66</v>
      </c>
      <c r="G125" s="16" t="s">
        <v>20</v>
      </c>
      <c r="H125" s="23">
        <v>4.5730311361774995E-2</v>
      </c>
      <c r="I125" s="27">
        <v>43.96</v>
      </c>
      <c r="J125" s="27">
        <v>28.96</v>
      </c>
      <c r="K125" s="27">
        <v>20.74</v>
      </c>
      <c r="L125" s="27">
        <v>2.2799999999999998</v>
      </c>
      <c r="M125" s="27">
        <v>6.48</v>
      </c>
      <c r="N125" s="17">
        <f t="shared" si="82"/>
        <v>17.591570580742598</v>
      </c>
      <c r="O125" s="17">
        <f t="shared" si="83"/>
        <v>11.588987352554723</v>
      </c>
      <c r="P125" s="15">
        <f t="shared" si="84"/>
        <v>29.180557933297322</v>
      </c>
      <c r="Q125" s="17">
        <f t="shared" ref="Q125" si="90">$D125*K125/($H125*100)</f>
        <v>8.2995717435077676</v>
      </c>
      <c r="R125" s="17">
        <f t="shared" ref="R125" si="91">Q125+N125</f>
        <v>25.891142324250367</v>
      </c>
      <c r="S125" s="17">
        <f t="shared" si="85"/>
        <v>0.91239265068455688</v>
      </c>
      <c r="T125" s="17">
        <f t="shared" ref="T125" si="92">$D125*M125/($H125*100)</f>
        <v>2.5931159545771623</v>
      </c>
      <c r="U125" s="17">
        <f t="shared" si="86"/>
        <v>1.262049702882678</v>
      </c>
      <c r="V125" s="17">
        <f t="shared" si="87"/>
        <v>0.83141399898731472</v>
      </c>
      <c r="W125" s="17">
        <f t="shared" si="88"/>
        <v>2.0934637018699926</v>
      </c>
      <c r="X125" s="17">
        <f t="shared" ref="X125" si="93">Q125/($C125-$B125)</f>
        <v>0.59542563325265563</v>
      </c>
      <c r="Y125" s="17">
        <f t="shared" ref="Y125" si="94">R125/($C125-$B125)</f>
        <v>1.8574753361353338</v>
      </c>
      <c r="Z125" s="17">
        <f t="shared" si="89"/>
        <v>6.5456626992095215E-2</v>
      </c>
      <c r="AA125" s="17">
        <f t="shared" ref="AA125" si="95">T125/($C125-$B125)</f>
        <v>0.18603462408279697</v>
      </c>
    </row>
    <row r="126" spans="1:28">
      <c r="A126" s="2">
        <v>113</v>
      </c>
      <c r="B126" s="43">
        <v>43040.447222222225</v>
      </c>
      <c r="C126" s="43">
        <v>43076.409722222219</v>
      </c>
      <c r="D126" s="28">
        <v>0.81</v>
      </c>
      <c r="E126" s="17">
        <f>2600/824</f>
        <v>3.1553398058252426</v>
      </c>
      <c r="F126" s="2" t="s">
        <v>66</v>
      </c>
      <c r="G126" s="16" t="s">
        <v>20</v>
      </c>
      <c r="H126" s="23">
        <v>4.8788999999999999E-2</v>
      </c>
      <c r="I126" s="27">
        <v>251.46</v>
      </c>
      <c r="J126" s="27">
        <v>209.47</v>
      </c>
      <c r="K126" s="27">
        <v>342.73</v>
      </c>
      <c r="L126" s="27">
        <v>4.13</v>
      </c>
      <c r="M126" s="27">
        <v>21.64</v>
      </c>
      <c r="N126" s="17" t="s">
        <v>111</v>
      </c>
      <c r="O126" s="17" t="s">
        <v>111</v>
      </c>
      <c r="P126" s="15" t="s">
        <v>111</v>
      </c>
      <c r="Q126" s="17" t="s">
        <v>111</v>
      </c>
      <c r="R126" s="17" t="s">
        <v>111</v>
      </c>
      <c r="S126" s="17" t="s">
        <v>111</v>
      </c>
      <c r="T126" s="17" t="s">
        <v>111</v>
      </c>
      <c r="U126" s="17" t="s">
        <v>111</v>
      </c>
      <c r="V126" s="17" t="s">
        <v>111</v>
      </c>
      <c r="W126" s="17" t="s">
        <v>111</v>
      </c>
      <c r="X126" s="17" t="s">
        <v>111</v>
      </c>
      <c r="Y126" s="17" t="s">
        <v>111</v>
      </c>
      <c r="Z126" s="17" t="s">
        <v>111</v>
      </c>
      <c r="AA126" s="17" t="s">
        <v>111</v>
      </c>
      <c r="AB126" s="24" t="s">
        <v>156</v>
      </c>
    </row>
    <row r="127" spans="1:28">
      <c r="A127" s="2">
        <v>114</v>
      </c>
      <c r="B127" s="43">
        <v>43076.409722222219</v>
      </c>
      <c r="C127" s="43">
        <v>43094.402777777781</v>
      </c>
      <c r="D127" s="28">
        <v>1.5760000000000001</v>
      </c>
      <c r="E127" s="17">
        <v>0</v>
      </c>
      <c r="F127" s="2" t="s">
        <v>19</v>
      </c>
      <c r="G127" s="16" t="s">
        <v>20</v>
      </c>
      <c r="H127" s="23">
        <v>4.5730311361774995E-2</v>
      </c>
      <c r="I127" s="27">
        <v>79.760000000000005</v>
      </c>
      <c r="J127" s="27">
        <v>21.97</v>
      </c>
      <c r="K127" s="27">
        <v>54.07</v>
      </c>
      <c r="L127" s="27">
        <v>1.6</v>
      </c>
      <c r="M127" s="27">
        <v>4.68</v>
      </c>
      <c r="N127" s="17">
        <f t="shared" ref="N127:N136" si="96">$D127*I127/($H127*100)</f>
        <v>27.487623910007194</v>
      </c>
      <c r="O127" s="17">
        <f t="shared" ref="O127:O136" si="97">$D127*J127/($H127*100)</f>
        <v>7.5715032259636157</v>
      </c>
      <c r="P127" s="15">
        <f t="shared" ref="P127:P136" si="98">N127+O127</f>
        <v>35.059127135970812</v>
      </c>
      <c r="Q127" s="17">
        <f t="shared" ref="Q127:Q136" si="99">$D127*K127/($H127*100)</f>
        <v>18.634100110507635</v>
      </c>
      <c r="R127" s="17">
        <f t="shared" ref="R127:R136" si="100">Q127+N127</f>
        <v>46.121724020514833</v>
      </c>
      <c r="S127" s="17">
        <f t="shared" ref="S127:S136" si="101">$D127*L127/($H127*100)</f>
        <v>0.55140669829502897</v>
      </c>
      <c r="T127" s="17">
        <f t="shared" ref="T127:T136" si="102">$D127*M127/($H127*100)</f>
        <v>1.6128645925129597</v>
      </c>
      <c r="U127" s="17">
        <f t="shared" ref="U127:U136" si="103">N127/($C127-$B127)</f>
        <v>1.527679599783718</v>
      </c>
      <c r="V127" s="17">
        <f t="shared" ref="V127:V136" si="104">O127/($C127-$B127)</f>
        <v>0.4208014143336043</v>
      </c>
      <c r="W127" s="17">
        <f t="shared" ref="W127:W136" si="105">P127/($C127-$B127)</f>
        <v>1.9484810141173223</v>
      </c>
      <c r="X127" s="17">
        <f t="shared" ref="X127:X136" si="106">Q127/($C127-$B127)</f>
        <v>1.0356273314983153</v>
      </c>
      <c r="Y127" s="17">
        <f t="shared" ref="Y127:Y136" si="107">R127/($C127-$B127)</f>
        <v>2.5633069312820336</v>
      </c>
      <c r="Z127" s="17">
        <f t="shared" ref="Z127:Z136" si="108">S127/($C127-$B127)</f>
        <v>3.0645528581418616E-2</v>
      </c>
      <c r="AA127" s="17">
        <f t="shared" ref="AA127:AA136" si="109">T127/($C127-$B127)</f>
        <v>8.963817110064945E-2</v>
      </c>
    </row>
    <row r="128" spans="1:28">
      <c r="A128" s="2">
        <v>115</v>
      </c>
      <c r="B128" s="43">
        <v>43094.402777777781</v>
      </c>
      <c r="C128" s="43">
        <v>43111.39166666667</v>
      </c>
      <c r="D128" s="28">
        <v>2.98</v>
      </c>
      <c r="E128" s="17">
        <f>880/824</f>
        <v>1.0679611650485437</v>
      </c>
      <c r="F128" s="2" t="s">
        <v>62</v>
      </c>
      <c r="G128" s="16" t="s">
        <v>20</v>
      </c>
      <c r="H128" s="23">
        <v>4.8788999999999999E-2</v>
      </c>
      <c r="I128" s="27">
        <v>35.85</v>
      </c>
      <c r="J128" s="27">
        <v>12.14</v>
      </c>
      <c r="K128" s="27">
        <v>100.29</v>
      </c>
      <c r="L128" s="27">
        <v>3.67</v>
      </c>
      <c r="M128" s="27">
        <v>5.61</v>
      </c>
      <c r="N128" s="17">
        <f t="shared" si="96"/>
        <v>21.89694398327492</v>
      </c>
      <c r="O128" s="17">
        <f t="shared" si="97"/>
        <v>7.4150320769025804</v>
      </c>
      <c r="P128" s="15">
        <f t="shared" si="98"/>
        <v>29.3119760601775</v>
      </c>
      <c r="Q128" s="17">
        <f t="shared" si="99"/>
        <v>61.256471745680386</v>
      </c>
      <c r="R128" s="17">
        <f t="shared" si="100"/>
        <v>83.153415728955309</v>
      </c>
      <c r="S128" s="17">
        <f t="shared" si="101"/>
        <v>2.241611838734141</v>
      </c>
      <c r="T128" s="17">
        <f t="shared" si="102"/>
        <v>3.426551066838837</v>
      </c>
      <c r="U128" s="17">
        <f t="shared" si="103"/>
        <v>1.2888979453856926</v>
      </c>
      <c r="V128" s="17">
        <f t="shared" si="104"/>
        <v>0.43646362780982728</v>
      </c>
      <c r="W128" s="17">
        <f t="shared" si="105"/>
        <v>1.7253615731955199</v>
      </c>
      <c r="X128" s="17">
        <f t="shared" si="106"/>
        <v>3.605678520020394</v>
      </c>
      <c r="Y128" s="17">
        <f t="shared" si="107"/>
        <v>4.8945764654060868</v>
      </c>
      <c r="Z128" s="17">
        <f t="shared" si="108"/>
        <v>0.13194575898369573</v>
      </c>
      <c r="AA128" s="17">
        <f t="shared" si="109"/>
        <v>0.20169365337834688</v>
      </c>
      <c r="AB128" s="24" t="s">
        <v>149</v>
      </c>
    </row>
    <row r="129" spans="1:35">
      <c r="A129" s="2">
        <v>116</v>
      </c>
      <c r="B129" s="43">
        <v>43111.39166666667</v>
      </c>
      <c r="C129" s="43">
        <v>43129.578472222223</v>
      </c>
      <c r="D129" s="28">
        <v>1.625</v>
      </c>
      <c r="E129" s="17">
        <f>151/824</f>
        <v>0.18325242718446602</v>
      </c>
      <c r="F129" s="2" t="s">
        <v>64</v>
      </c>
      <c r="G129" s="16" t="s">
        <v>20</v>
      </c>
      <c r="H129" s="23">
        <v>4.5730311361774995E-2</v>
      </c>
      <c r="I129" s="27">
        <v>63.44</v>
      </c>
      <c r="J129" s="27">
        <v>27.44</v>
      </c>
      <c r="K129" s="27">
        <v>6.45</v>
      </c>
      <c r="L129" s="27">
        <v>2.2999999999999998</v>
      </c>
      <c r="M129" s="27">
        <v>6.16</v>
      </c>
      <c r="N129" s="17">
        <f t="shared" si="96"/>
        <v>22.543034790305573</v>
      </c>
      <c r="O129" s="17">
        <f t="shared" si="97"/>
        <v>9.7506443040035453</v>
      </c>
      <c r="P129" s="15">
        <f t="shared" si="98"/>
        <v>32.29367909430912</v>
      </c>
      <c r="Q129" s="17">
        <f t="shared" si="99"/>
        <v>2.2919699621291136</v>
      </c>
      <c r="R129" s="17">
        <f t="shared" si="100"/>
        <v>24.835004752434685</v>
      </c>
      <c r="S129" s="17">
        <f t="shared" si="101"/>
        <v>0.81729161440262954</v>
      </c>
      <c r="T129" s="17">
        <f t="shared" si="102"/>
        <v>2.188920149878347</v>
      </c>
      <c r="U129" s="17">
        <f t="shared" si="103"/>
        <v>1.2395269043508368</v>
      </c>
      <c r="V129" s="17">
        <f t="shared" si="104"/>
        <v>0.53613837098655359</v>
      </c>
      <c r="W129" s="17">
        <f t="shared" si="105"/>
        <v>1.7756652753373905</v>
      </c>
      <c r="X129" s="17">
        <f t="shared" si="106"/>
        <v>0.12602377889443409</v>
      </c>
      <c r="Y129" s="17">
        <f t="shared" si="107"/>
        <v>1.3655506832452708</v>
      </c>
      <c r="Z129" s="17">
        <f t="shared" si="108"/>
        <v>4.4938711853829201E-2</v>
      </c>
      <c r="AA129" s="17">
        <f t="shared" si="109"/>
        <v>0.12035759348677735</v>
      </c>
    </row>
    <row r="130" spans="1:35">
      <c r="A130" s="2">
        <v>117</v>
      </c>
      <c r="B130" s="43">
        <v>43129.578472222223</v>
      </c>
      <c r="C130" s="43">
        <v>43138.425000000003</v>
      </c>
      <c r="D130" s="28">
        <v>3.423</v>
      </c>
      <c r="E130" s="17">
        <v>0</v>
      </c>
      <c r="F130" s="2" t="s">
        <v>19</v>
      </c>
      <c r="G130" s="16" t="s">
        <v>20</v>
      </c>
      <c r="H130" s="23">
        <v>4.8788999999999999E-2</v>
      </c>
      <c r="I130" s="27">
        <v>19.63</v>
      </c>
      <c r="J130" s="27">
        <v>8.1300000000000008</v>
      </c>
      <c r="K130" s="27">
        <v>4.8</v>
      </c>
      <c r="L130" s="27">
        <v>1.1499999999999999</v>
      </c>
      <c r="M130" s="27">
        <v>3.08</v>
      </c>
      <c r="N130" s="17">
        <f t="shared" si="96"/>
        <v>13.772262190247801</v>
      </c>
      <c r="O130" s="17">
        <f t="shared" si="97"/>
        <v>5.7039476111418566</v>
      </c>
      <c r="P130" s="15">
        <f t="shared" si="98"/>
        <v>19.476209801389658</v>
      </c>
      <c r="Q130" s="17">
        <f t="shared" si="99"/>
        <v>3.3676443460616121</v>
      </c>
      <c r="R130" s="17">
        <f t="shared" si="100"/>
        <v>17.139906536309415</v>
      </c>
      <c r="S130" s="17">
        <f t="shared" si="101"/>
        <v>0.80683145791059463</v>
      </c>
      <c r="T130" s="17">
        <f t="shared" si="102"/>
        <v>2.1609051220562012</v>
      </c>
      <c r="U130" s="17">
        <f t="shared" si="103"/>
        <v>1.5567986148012283</v>
      </c>
      <c r="V130" s="17">
        <f t="shared" si="104"/>
        <v>0.64476682314487965</v>
      </c>
      <c r="W130" s="17">
        <f t="shared" si="105"/>
        <v>2.2015654379461078</v>
      </c>
      <c r="X130" s="17">
        <f t="shared" si="106"/>
        <v>0.38067413912612813</v>
      </c>
      <c r="Y130" s="17">
        <f t="shared" si="107"/>
        <v>1.9374727539273566</v>
      </c>
      <c r="Z130" s="17">
        <f t="shared" si="108"/>
        <v>9.1203179165634876E-2</v>
      </c>
      <c r="AA130" s="17">
        <f t="shared" si="109"/>
        <v>0.24426590593926559</v>
      </c>
    </row>
    <row r="131" spans="1:35" hidden="1">
      <c r="A131" s="2">
        <v>118</v>
      </c>
      <c r="B131" s="43">
        <v>43138.425000000003</v>
      </c>
      <c r="C131" s="43">
        <v>43152.496527777781</v>
      </c>
      <c r="D131" s="28">
        <v>1.8140000000000001</v>
      </c>
      <c r="E131" s="17" t="s">
        <v>21</v>
      </c>
      <c r="F131" s="2" t="s">
        <v>19</v>
      </c>
      <c r="G131" s="16" t="s">
        <v>20</v>
      </c>
      <c r="H131" s="23">
        <v>4.5730311361774995E-2</v>
      </c>
      <c r="I131" s="27">
        <v>49.9</v>
      </c>
      <c r="J131" s="27">
        <v>49.24</v>
      </c>
      <c r="K131" s="27">
        <v>74.069999999999993</v>
      </c>
      <c r="L131" s="27">
        <v>3.63</v>
      </c>
      <c r="M131" s="27">
        <v>9.0399999999999991</v>
      </c>
      <c r="N131" s="17">
        <f t="shared" si="96"/>
        <v>19.794004743134682</v>
      </c>
      <c r="O131" s="17">
        <f t="shared" si="97"/>
        <v>19.532200271582198</v>
      </c>
      <c r="P131" s="15">
        <f t="shared" si="98"/>
        <v>39.326205014716876</v>
      </c>
      <c r="Q131" s="17">
        <f t="shared" si="99"/>
        <v>29.381601830139992</v>
      </c>
      <c r="R131" s="17">
        <f t="shared" si="100"/>
        <v>49.175606573274678</v>
      </c>
      <c r="S131" s="17">
        <f t="shared" si="101"/>
        <v>1.4399245935386549</v>
      </c>
      <c r="T131" s="17">
        <f t="shared" si="102"/>
        <v>3.5859279133855209</v>
      </c>
      <c r="U131" s="17">
        <f t="shared" si="103"/>
        <v>1.4066706228156387</v>
      </c>
      <c r="V131" s="17">
        <f t="shared" si="104"/>
        <v>1.388065360068979</v>
      </c>
      <c r="W131" s="17">
        <f t="shared" si="105"/>
        <v>2.7947359828846174</v>
      </c>
      <c r="X131" s="17">
        <f t="shared" si="106"/>
        <v>2.0880178964319507</v>
      </c>
      <c r="Y131" s="17">
        <f t="shared" si="107"/>
        <v>3.4946885192475898</v>
      </c>
      <c r="Z131" s="17">
        <f t="shared" si="108"/>
        <v>0.1023289451066286</v>
      </c>
      <c r="AA131" s="17">
        <f t="shared" si="109"/>
        <v>0.25483572004515775</v>
      </c>
      <c r="AB131" s="24">
        <v>63</v>
      </c>
    </row>
    <row r="132" spans="1:35">
      <c r="A132" s="2">
        <v>118</v>
      </c>
      <c r="B132" s="43">
        <v>43138.425000000003</v>
      </c>
      <c r="C132" s="43">
        <v>43152.496527777781</v>
      </c>
      <c r="D132" s="28">
        <v>1.8140000000000001</v>
      </c>
      <c r="E132" s="17" t="s">
        <v>21</v>
      </c>
      <c r="F132" s="2" t="s">
        <v>66</v>
      </c>
      <c r="G132" s="16" t="s">
        <v>20</v>
      </c>
      <c r="H132" s="23">
        <v>4.5730311361774995E-2</v>
      </c>
      <c r="I132" s="27">
        <v>49.9</v>
      </c>
      <c r="J132" s="27">
        <v>49.24</v>
      </c>
      <c r="K132" s="27">
        <v>74.069999999999993</v>
      </c>
      <c r="L132" s="27">
        <v>3.63</v>
      </c>
      <c r="M132" s="27">
        <v>9.0399999999999991</v>
      </c>
      <c r="N132" s="17">
        <f t="shared" si="96"/>
        <v>19.794004743134682</v>
      </c>
      <c r="O132" s="17">
        <f t="shared" si="97"/>
        <v>19.532200271582198</v>
      </c>
      <c r="P132" s="15">
        <f t="shared" si="98"/>
        <v>39.326205014716876</v>
      </c>
      <c r="Q132" s="17">
        <f t="shared" si="99"/>
        <v>29.381601830139992</v>
      </c>
      <c r="R132" s="17">
        <f t="shared" si="100"/>
        <v>49.175606573274678</v>
      </c>
      <c r="S132" s="17">
        <f t="shared" si="101"/>
        <v>1.4399245935386549</v>
      </c>
      <c r="T132" s="17">
        <f t="shared" si="102"/>
        <v>3.5859279133855209</v>
      </c>
      <c r="U132" s="17">
        <f t="shared" si="103"/>
        <v>1.4066706228156387</v>
      </c>
      <c r="V132" s="17">
        <f t="shared" si="104"/>
        <v>1.388065360068979</v>
      </c>
      <c r="W132" s="17">
        <f t="shared" si="105"/>
        <v>2.7947359828846174</v>
      </c>
      <c r="X132" s="17">
        <f t="shared" si="106"/>
        <v>2.0880178964319507</v>
      </c>
      <c r="Y132" s="17">
        <f t="shared" si="107"/>
        <v>3.4946885192475898</v>
      </c>
      <c r="Z132" s="17">
        <f t="shared" si="108"/>
        <v>0.1023289451066286</v>
      </c>
      <c r="AA132" s="17">
        <f t="shared" si="109"/>
        <v>0.25483572004515775</v>
      </c>
      <c r="AB132" s="24" t="s">
        <v>150</v>
      </c>
    </row>
    <row r="133" spans="1:35">
      <c r="A133" s="2">
        <v>119</v>
      </c>
      <c r="B133" s="43">
        <v>43152.496527777781</v>
      </c>
      <c r="C133" s="43">
        <v>43164.434027777781</v>
      </c>
      <c r="D133" s="28">
        <v>2.1749999999999998</v>
      </c>
      <c r="E133" s="17" t="s">
        <v>21</v>
      </c>
      <c r="F133" s="2" t="s">
        <v>64</v>
      </c>
      <c r="G133" s="16" t="s">
        <v>20</v>
      </c>
      <c r="H133" s="23">
        <v>4.8788999999999999E-2</v>
      </c>
      <c r="I133" s="27">
        <v>13.68</v>
      </c>
      <c r="J133" s="27">
        <v>9.5500000000000007</v>
      </c>
      <c r="K133" s="27">
        <v>28.14</v>
      </c>
      <c r="L133" s="27">
        <v>0.68</v>
      </c>
      <c r="M133" s="27">
        <v>3.12</v>
      </c>
      <c r="N133" s="17">
        <f t="shared" si="96"/>
        <v>6.0985058107360262</v>
      </c>
      <c r="O133" s="17">
        <f t="shared" si="97"/>
        <v>4.2573633400971529</v>
      </c>
      <c r="P133" s="15">
        <f t="shared" si="98"/>
        <v>10.355869150833179</v>
      </c>
      <c r="Q133" s="17">
        <f t="shared" si="99"/>
        <v>12.544733444014019</v>
      </c>
      <c r="R133" s="17">
        <f t="shared" si="100"/>
        <v>18.643239254750046</v>
      </c>
      <c r="S133" s="17">
        <f t="shared" si="101"/>
        <v>0.30314210170325279</v>
      </c>
      <c r="T133" s="17">
        <f t="shared" si="102"/>
        <v>1.3908872901678657</v>
      </c>
      <c r="U133" s="17">
        <f t="shared" si="103"/>
        <v>0.51086959671087129</v>
      </c>
      <c r="V133" s="17">
        <f t="shared" si="104"/>
        <v>0.35663776670970915</v>
      </c>
      <c r="W133" s="17">
        <f t="shared" si="105"/>
        <v>0.86750736342058044</v>
      </c>
      <c r="X133" s="17">
        <f t="shared" si="106"/>
        <v>1.050867723058766</v>
      </c>
      <c r="Y133" s="17">
        <f t="shared" si="107"/>
        <v>1.5617373197696374</v>
      </c>
      <c r="Z133" s="17">
        <f t="shared" si="108"/>
        <v>2.5394102760481908E-2</v>
      </c>
      <c r="AA133" s="17">
        <f t="shared" si="109"/>
        <v>0.11651411854809346</v>
      </c>
      <c r="AB133" s="24" t="s">
        <v>151</v>
      </c>
    </row>
    <row r="134" spans="1:35">
      <c r="A134" s="2">
        <v>120</v>
      </c>
      <c r="B134" s="43">
        <v>43164.434027777781</v>
      </c>
      <c r="C134" s="43">
        <v>43187.40625</v>
      </c>
      <c r="D134" s="28">
        <v>2.25</v>
      </c>
      <c r="E134" s="17">
        <f>3000/824</f>
        <v>3.6407766990291264</v>
      </c>
      <c r="F134" s="2" t="s">
        <v>66</v>
      </c>
      <c r="G134" s="16" t="s">
        <v>20</v>
      </c>
      <c r="H134" s="23">
        <v>4.5730311361774995E-2</v>
      </c>
      <c r="I134" s="27">
        <v>48.27</v>
      </c>
      <c r="J134" s="27">
        <v>55.68</v>
      </c>
      <c r="K134" s="27">
        <v>88.25</v>
      </c>
      <c r="L134" s="27">
        <v>1.1299999999999999</v>
      </c>
      <c r="M134" s="27">
        <v>6.71</v>
      </c>
      <c r="N134" s="17">
        <f t="shared" si="96"/>
        <v>23.749564952838419</v>
      </c>
      <c r="O134" s="17">
        <f t="shared" si="97"/>
        <v>27.395396241434497</v>
      </c>
      <c r="P134" s="15">
        <f t="shared" si="98"/>
        <v>51.144961194272916</v>
      </c>
      <c r="Q134" s="17">
        <f t="shared" si="99"/>
        <v>43.420325400621302</v>
      </c>
      <c r="R134" s="17">
        <f t="shared" si="100"/>
        <v>67.169890353459721</v>
      </c>
      <c r="S134" s="17">
        <f t="shared" si="101"/>
        <v>0.55597697113543421</v>
      </c>
      <c r="T134" s="17">
        <f t="shared" si="102"/>
        <v>3.3014207755033311</v>
      </c>
      <c r="U134" s="17">
        <f t="shared" si="103"/>
        <v>1.0338383776327733</v>
      </c>
      <c r="V134" s="17">
        <f t="shared" si="104"/>
        <v>1.1925444554918752</v>
      </c>
      <c r="W134" s="17">
        <f t="shared" si="105"/>
        <v>2.2263828331246485</v>
      </c>
      <c r="X134" s="17">
        <f t="shared" si="106"/>
        <v>1.8901229920466589</v>
      </c>
      <c r="Y134" s="17">
        <f t="shared" si="107"/>
        <v>2.9239613696794322</v>
      </c>
      <c r="Z134" s="17">
        <f t="shared" si="108"/>
        <v>2.4202141427906228E-2</v>
      </c>
      <c r="AA134" s="17">
        <f t="shared" si="109"/>
        <v>0.14371360086836354</v>
      </c>
    </row>
    <row r="135" spans="1:35">
      <c r="A135" s="2">
        <v>121</v>
      </c>
      <c r="B135" s="43">
        <v>43187.40625</v>
      </c>
      <c r="C135" s="43">
        <v>43194.293055555558</v>
      </c>
      <c r="D135" s="28">
        <v>3.04</v>
      </c>
      <c r="E135" s="17" t="s">
        <v>51</v>
      </c>
      <c r="F135" s="2" t="s">
        <v>52</v>
      </c>
      <c r="G135" s="16" t="s">
        <v>20</v>
      </c>
      <c r="H135" s="23">
        <v>4.8788999999999999E-2</v>
      </c>
      <c r="I135" s="27">
        <v>15.42</v>
      </c>
      <c r="J135" s="27">
        <v>13.33</v>
      </c>
      <c r="K135" s="27">
        <v>17.11</v>
      </c>
      <c r="L135" s="27">
        <v>1.1299999999999999</v>
      </c>
      <c r="M135" s="27">
        <v>3.12</v>
      </c>
      <c r="N135" s="17">
        <f t="shared" si="96"/>
        <v>9.6080673922400557</v>
      </c>
      <c r="O135" s="17">
        <f t="shared" si="97"/>
        <v>8.3058066367418899</v>
      </c>
      <c r="P135" s="15">
        <f t="shared" si="98"/>
        <v>17.913874028981944</v>
      </c>
      <c r="Q135" s="17">
        <f t="shared" si="99"/>
        <v>10.661091639508907</v>
      </c>
      <c r="R135" s="17">
        <f t="shared" si="100"/>
        <v>20.269159031748963</v>
      </c>
      <c r="S135" s="17">
        <f t="shared" si="101"/>
        <v>0.70409313574781196</v>
      </c>
      <c r="T135" s="17">
        <f t="shared" si="102"/>
        <v>1.9440447641886491</v>
      </c>
      <c r="U135" s="17">
        <f t="shared" si="103"/>
        <v>1.3951413779188724</v>
      </c>
      <c r="V135" s="17">
        <f t="shared" si="104"/>
        <v>1.2060463403150823</v>
      </c>
      <c r="W135" s="17">
        <f t="shared" si="105"/>
        <v>2.6011877182339544</v>
      </c>
      <c r="X135" s="17">
        <f t="shared" si="106"/>
        <v>1.5480459777037552</v>
      </c>
      <c r="Y135" s="17">
        <f t="shared" si="107"/>
        <v>2.9431873556226278</v>
      </c>
      <c r="Z135" s="17">
        <f t="shared" si="108"/>
        <v>0.1022379868384128</v>
      </c>
      <c r="AA135" s="17">
        <f t="shared" si="109"/>
        <v>0.28228541498747606</v>
      </c>
    </row>
    <row r="136" spans="1:35">
      <c r="A136" s="2">
        <v>122</v>
      </c>
      <c r="B136" s="43">
        <v>43194.293055555558</v>
      </c>
      <c r="C136" s="43">
        <v>43207.854166666664</v>
      </c>
      <c r="D136" s="28">
        <v>1.407</v>
      </c>
      <c r="E136" s="17">
        <f>840/824</f>
        <v>1.0194174757281553</v>
      </c>
      <c r="F136" s="2" t="s">
        <v>62</v>
      </c>
      <c r="G136" s="16" t="s">
        <v>20</v>
      </c>
      <c r="H136" s="23">
        <v>4.5730311361774995E-2</v>
      </c>
      <c r="I136" s="27">
        <v>58.97</v>
      </c>
      <c r="J136" s="27">
        <v>88.99</v>
      </c>
      <c r="K136" s="27">
        <v>96.62</v>
      </c>
      <c r="L136" s="27">
        <v>4.1100000000000003</v>
      </c>
      <c r="M136" s="27">
        <v>9.39</v>
      </c>
      <c r="N136" s="17">
        <f t="shared" si="96"/>
        <v>18.143499908324159</v>
      </c>
      <c r="O136" s="17">
        <f t="shared" si="97"/>
        <v>27.379855127043701</v>
      </c>
      <c r="P136" s="15">
        <f t="shared" si="98"/>
        <v>45.523355035367857</v>
      </c>
      <c r="Q136" s="17">
        <f t="shared" si="99"/>
        <v>29.727403105685614</v>
      </c>
      <c r="R136" s="17">
        <f t="shared" si="100"/>
        <v>47.87090301400977</v>
      </c>
      <c r="S136" s="17">
        <f t="shared" si="101"/>
        <v>1.2645376398713295</v>
      </c>
      <c r="T136" s="17">
        <f t="shared" si="102"/>
        <v>2.8890531480271981</v>
      </c>
      <c r="U136" s="17">
        <f t="shared" si="103"/>
        <v>1.3379065888977628</v>
      </c>
      <c r="V136" s="17">
        <f t="shared" si="104"/>
        <v>2.01899792006125</v>
      </c>
      <c r="W136" s="17">
        <f t="shared" si="105"/>
        <v>3.3569045089590128</v>
      </c>
      <c r="X136" s="17">
        <f t="shared" si="106"/>
        <v>2.1921067427387122</v>
      </c>
      <c r="Y136" s="17">
        <f t="shared" si="107"/>
        <v>3.530013331636475</v>
      </c>
      <c r="Z136" s="17">
        <f t="shared" si="108"/>
        <v>9.3247347471083694E-2</v>
      </c>
      <c r="AA136" s="17">
        <f t="shared" si="109"/>
        <v>0.21303956028065107</v>
      </c>
      <c r="AB136" s="24" t="s">
        <v>152</v>
      </c>
    </row>
    <row r="137" spans="1:35">
      <c r="A137" s="2">
        <v>123</v>
      </c>
      <c r="B137" s="43">
        <v>43207.854166666664</v>
      </c>
      <c r="C137" s="43">
        <v>43216.399305555555</v>
      </c>
      <c r="D137" s="28" t="s">
        <v>21</v>
      </c>
      <c r="E137" s="17" t="s">
        <v>21</v>
      </c>
      <c r="F137" s="2" t="s">
        <v>66</v>
      </c>
      <c r="G137" s="16" t="s">
        <v>20</v>
      </c>
      <c r="H137" s="23">
        <v>4.8788999999999999E-2</v>
      </c>
      <c r="I137" s="27">
        <v>26.44</v>
      </c>
      <c r="J137" s="27">
        <v>31.17</v>
      </c>
      <c r="K137" s="27">
        <v>47.81</v>
      </c>
      <c r="L137" s="27">
        <v>2.2799999999999998</v>
      </c>
      <c r="M137" s="27">
        <v>6.91</v>
      </c>
      <c r="N137" s="17" t="s">
        <v>21</v>
      </c>
      <c r="O137" s="17" t="s">
        <v>21</v>
      </c>
      <c r="P137" s="17" t="s">
        <v>21</v>
      </c>
      <c r="Q137" s="17" t="s">
        <v>21</v>
      </c>
      <c r="R137" s="17" t="s">
        <v>21</v>
      </c>
      <c r="S137" s="17" t="s">
        <v>21</v>
      </c>
      <c r="T137" s="17" t="s">
        <v>21</v>
      </c>
      <c r="U137" s="17" t="s">
        <v>21</v>
      </c>
      <c r="V137" s="17" t="s">
        <v>21</v>
      </c>
      <c r="W137" s="17" t="s">
        <v>21</v>
      </c>
      <c r="X137" s="17" t="s">
        <v>21</v>
      </c>
      <c r="Y137" s="17" t="s">
        <v>21</v>
      </c>
      <c r="Z137" s="17" t="s">
        <v>21</v>
      </c>
      <c r="AA137" s="17" t="s">
        <v>21</v>
      </c>
      <c r="AB137" s="24" t="s">
        <v>155</v>
      </c>
    </row>
    <row r="138" spans="1:35">
      <c r="A138" s="2">
        <v>124</v>
      </c>
      <c r="B138" s="43">
        <v>43216.399305555555</v>
      </c>
      <c r="C138" s="43">
        <v>43230.385416666664</v>
      </c>
      <c r="D138" s="28">
        <v>0.95</v>
      </c>
      <c r="E138" s="17">
        <f>90/824</f>
        <v>0.10922330097087378</v>
      </c>
      <c r="F138" s="2" t="s">
        <v>66</v>
      </c>
      <c r="G138" s="16" t="s">
        <v>20</v>
      </c>
      <c r="H138" s="23">
        <v>4.5730311361774995E-2</v>
      </c>
      <c r="I138" s="27">
        <v>125.19</v>
      </c>
      <c r="J138" s="27">
        <v>242.48</v>
      </c>
      <c r="K138" s="27">
        <v>279.83</v>
      </c>
      <c r="L138" s="27">
        <v>7.53</v>
      </c>
      <c r="M138" s="27">
        <v>20.43</v>
      </c>
      <c r="N138" s="17">
        <f t="shared" ref="N138:N141" si="110">$D138*I138/($H138*100)</f>
        <v>26.006929858652022</v>
      </c>
      <c r="O138" s="17">
        <f t="shared" ref="O138:O141" si="111">$D138*J138/($H138*100)</f>
        <v>50.372716288249393</v>
      </c>
      <c r="P138" s="15">
        <f t="shared" ref="P138:P141" si="112">N138+O138</f>
        <v>76.379646146901422</v>
      </c>
      <c r="Q138" s="17">
        <f t="shared" ref="Q138:Q141" si="113">$D138*K138/($H138*100)</f>
        <v>58.131793133210273</v>
      </c>
      <c r="R138" s="17">
        <f t="shared" ref="R138:R141" si="114">Q138+N138</f>
        <v>84.138722991862295</v>
      </c>
      <c r="S138" s="17">
        <f t="shared" ref="S138:S141" si="115">$D138*L138/($H138*100)</f>
        <v>1.5642797494660095</v>
      </c>
      <c r="T138" s="17">
        <f t="shared" ref="T138:T164" si="116">$D138*M138/($H138*100)</f>
        <v>4.2441215513400499</v>
      </c>
      <c r="U138" s="17">
        <f t="shared" ref="U138:U141" si="117">N138/($C138-$B138)</f>
        <v>1.8594825718204191</v>
      </c>
      <c r="V138" s="17">
        <f t="shared" ref="V138:V141" si="118">O138/($C138-$B138)</f>
        <v>3.6016242033310584</v>
      </c>
      <c r="W138" s="17">
        <f t="shared" ref="W138:W141" si="119">P138/($C138-$B138)</f>
        <v>5.4611067751514781</v>
      </c>
      <c r="X138" s="17">
        <f t="shared" ref="X138:X141" si="120">Q138/($C138-$B138)</f>
        <v>4.1563943451753955</v>
      </c>
      <c r="Y138" s="17">
        <f t="shared" ref="Y138:Y141" si="121">R138/($C138-$B138)</f>
        <v>6.0158769169958148</v>
      </c>
      <c r="Z138" s="17">
        <f t="shared" ref="Z138:Z141" si="122">S138/($C138-$B138)</f>
        <v>0.11184522538387855</v>
      </c>
      <c r="AA138" s="17">
        <f t="shared" ref="AA138:AA141" si="123">T138/($C138-$B138)</f>
        <v>0.30345258361124022</v>
      </c>
      <c r="AB138" s="24" t="s">
        <v>145</v>
      </c>
    </row>
    <row r="139" spans="1:35">
      <c r="A139" s="2">
        <v>125</v>
      </c>
      <c r="B139" s="43">
        <v>43230.385416666664</v>
      </c>
      <c r="C139" s="43">
        <v>43249.373611111114</v>
      </c>
      <c r="D139" s="28">
        <v>2.597</v>
      </c>
      <c r="E139" s="17">
        <f>980/824</f>
        <v>1.1893203883495145</v>
      </c>
      <c r="F139" s="2" t="s">
        <v>66</v>
      </c>
      <c r="G139" s="16" t="s">
        <v>20</v>
      </c>
      <c r="H139" s="23">
        <v>4.8788999999999999E-2</v>
      </c>
      <c r="I139" s="27">
        <v>180.91</v>
      </c>
      <c r="J139" s="27">
        <v>357.2</v>
      </c>
      <c r="K139" s="27">
        <v>409.49</v>
      </c>
      <c r="L139" s="27">
        <v>1.61</v>
      </c>
      <c r="M139" s="27">
        <v>11.47</v>
      </c>
      <c r="N139" s="17">
        <f t="shared" si="110"/>
        <v>96.296966529340636</v>
      </c>
      <c r="O139" s="17">
        <f t="shared" si="111"/>
        <v>190.13474348726146</v>
      </c>
      <c r="P139" s="15">
        <f t="shared" si="112"/>
        <v>286.4317100166021</v>
      </c>
      <c r="Q139" s="17">
        <f t="shared" si="113"/>
        <v>217.96829818196724</v>
      </c>
      <c r="R139" s="17">
        <f t="shared" si="114"/>
        <v>314.26526471130785</v>
      </c>
      <c r="S139" s="17">
        <f t="shared" si="115"/>
        <v>0.85699030519174402</v>
      </c>
      <c r="T139" s="17">
        <f t="shared" si="116"/>
        <v>6.1053905593473941</v>
      </c>
      <c r="U139" s="17">
        <f t="shared" si="117"/>
        <v>5.071412493223594</v>
      </c>
      <c r="V139" s="17">
        <f t="shared" si="118"/>
        <v>10.01331348504487</v>
      </c>
      <c r="W139" s="17">
        <f t="shared" si="119"/>
        <v>15.084725978268464</v>
      </c>
      <c r="X139" s="17">
        <f t="shared" si="120"/>
        <v>11.479148205461994</v>
      </c>
      <c r="Y139" s="17">
        <f t="shared" si="121"/>
        <v>16.550560698685587</v>
      </c>
      <c r="Z139" s="17">
        <f t="shared" si="122"/>
        <v>4.5132795943231364E-2</v>
      </c>
      <c r="AA139" s="17">
        <f t="shared" si="123"/>
        <v>0.3215361301048843</v>
      </c>
    </row>
    <row r="140" spans="1:35">
      <c r="A140" s="2">
        <v>126</v>
      </c>
      <c r="B140" s="43">
        <v>43249.373611111114</v>
      </c>
      <c r="C140" s="43">
        <v>43259.361111111109</v>
      </c>
      <c r="D140" s="28">
        <v>0.94299999999999995</v>
      </c>
      <c r="E140" s="17">
        <v>0</v>
      </c>
      <c r="F140" s="2" t="s">
        <v>19</v>
      </c>
      <c r="G140" s="16" t="s">
        <v>20</v>
      </c>
      <c r="H140" s="23">
        <v>4.5730311361774995E-2</v>
      </c>
      <c r="I140" s="27">
        <v>82.82</v>
      </c>
      <c r="J140" s="27">
        <v>146.5</v>
      </c>
      <c r="K140" s="27">
        <v>401.73</v>
      </c>
      <c r="L140" s="27">
        <v>2.2999999999999998</v>
      </c>
      <c r="M140" s="27">
        <v>14.97</v>
      </c>
      <c r="N140" s="17">
        <f t="shared" si="110"/>
        <v>17.078226164294502</v>
      </c>
      <c r="O140" s="17">
        <f t="shared" si="111"/>
        <v>30.209612811750116</v>
      </c>
      <c r="P140" s="15">
        <f t="shared" si="112"/>
        <v>47.287838976044618</v>
      </c>
      <c r="Q140" s="17">
        <f t="shared" si="113"/>
        <v>82.840325971770483</v>
      </c>
      <c r="R140" s="17">
        <f t="shared" si="114"/>
        <v>99.918552136064989</v>
      </c>
      <c r="S140" s="17">
        <f t="shared" si="115"/>
        <v>0.47428061069641819</v>
      </c>
      <c r="T140" s="17">
        <f t="shared" si="116"/>
        <v>3.0869481487501655</v>
      </c>
      <c r="U140" s="17">
        <f t="shared" si="117"/>
        <v>1.7099600665133383</v>
      </c>
      <c r="V140" s="17">
        <f t="shared" si="118"/>
        <v>3.024742208937504</v>
      </c>
      <c r="W140" s="17">
        <f t="shared" si="119"/>
        <v>4.7347022754508421</v>
      </c>
      <c r="X140" s="17">
        <f t="shared" si="120"/>
        <v>8.2944005979280799</v>
      </c>
      <c r="Y140" s="17">
        <f t="shared" si="121"/>
        <v>10.004360664441418</v>
      </c>
      <c r="Z140" s="17">
        <f t="shared" si="122"/>
        <v>4.7487420345093914E-2</v>
      </c>
      <c r="AA140" s="17">
        <f t="shared" si="123"/>
        <v>0.30908116633306781</v>
      </c>
      <c r="AB140" s="24" t="s">
        <v>153</v>
      </c>
    </row>
    <row r="141" spans="1:35">
      <c r="A141" s="2">
        <v>127</v>
      </c>
      <c r="B141" s="43">
        <v>43259.361111111109</v>
      </c>
      <c r="C141" s="43">
        <v>43273.482638888891</v>
      </c>
      <c r="D141" s="28">
        <v>0.5</v>
      </c>
      <c r="E141" s="17">
        <v>0</v>
      </c>
      <c r="F141" s="2" t="s">
        <v>19</v>
      </c>
      <c r="G141" s="16" t="s">
        <v>20</v>
      </c>
      <c r="H141" s="23">
        <v>4.8788999999999999E-2</v>
      </c>
      <c r="I141" s="27">
        <v>183.24</v>
      </c>
      <c r="J141" s="27">
        <v>201.39</v>
      </c>
      <c r="K141" s="27">
        <v>1027.3</v>
      </c>
      <c r="L141" s="27">
        <v>23.79</v>
      </c>
      <c r="M141" s="27">
        <v>81.99</v>
      </c>
      <c r="N141" s="17">
        <f t="shared" si="110"/>
        <v>18.778823095369859</v>
      </c>
      <c r="O141" s="17">
        <f t="shared" si="111"/>
        <v>20.638873516571358</v>
      </c>
      <c r="P141" s="15">
        <f t="shared" si="112"/>
        <v>39.417696611941217</v>
      </c>
      <c r="Q141" s="17">
        <f t="shared" si="113"/>
        <v>105.27987866117363</v>
      </c>
      <c r="R141" s="17">
        <f t="shared" si="114"/>
        <v>124.05870175654348</v>
      </c>
      <c r="S141" s="17">
        <f t="shared" si="115"/>
        <v>2.4380495603517187</v>
      </c>
      <c r="T141" s="17">
        <f t="shared" si="116"/>
        <v>8.4025087622209931</v>
      </c>
      <c r="U141" s="17">
        <f t="shared" si="117"/>
        <v>1.3298010945328942</v>
      </c>
      <c r="V141" s="17">
        <f t="shared" si="118"/>
        <v>1.4615184590044725</v>
      </c>
      <c r="W141" s="17">
        <f t="shared" si="119"/>
        <v>2.7913195535373667</v>
      </c>
      <c r="X141" s="17">
        <f t="shared" si="120"/>
        <v>7.4552754006420114</v>
      </c>
      <c r="Y141" s="17">
        <f t="shared" si="121"/>
        <v>8.7850764951749056</v>
      </c>
      <c r="Z141" s="17">
        <f t="shared" si="122"/>
        <v>0.17264771905117635</v>
      </c>
      <c r="AA141" s="17">
        <f t="shared" si="123"/>
        <v>0.59501414396830388</v>
      </c>
      <c r="AB141" s="24" t="s">
        <v>154</v>
      </c>
    </row>
    <row r="142" spans="1:35" s="32" customFormat="1">
      <c r="A142" s="38">
        <v>128</v>
      </c>
      <c r="B142" s="45">
        <v>43273.482638888891</v>
      </c>
      <c r="C142" s="45">
        <v>43294.375</v>
      </c>
      <c r="D142" s="29">
        <v>0.5</v>
      </c>
      <c r="E142" s="14">
        <v>0</v>
      </c>
      <c r="F142" s="38" t="s">
        <v>19</v>
      </c>
      <c r="G142" s="13" t="s">
        <v>20</v>
      </c>
      <c r="H142" s="25">
        <v>4.5730311361774995E-2</v>
      </c>
      <c r="I142" s="30">
        <v>134.33000000000001</v>
      </c>
      <c r="J142" s="30">
        <v>37.97</v>
      </c>
      <c r="K142" s="30">
        <v>852.01</v>
      </c>
      <c r="L142" s="30">
        <v>31.49</v>
      </c>
      <c r="M142" s="30">
        <v>113.42</v>
      </c>
      <c r="N142" s="14" t="s">
        <v>111</v>
      </c>
      <c r="O142" s="14" t="s">
        <v>111</v>
      </c>
      <c r="P142" s="22" t="s">
        <v>111</v>
      </c>
      <c r="Q142" s="14" t="s">
        <v>111</v>
      </c>
      <c r="R142" s="14" t="s">
        <v>111</v>
      </c>
      <c r="S142" s="14" t="s">
        <v>111</v>
      </c>
      <c r="T142" s="14" t="s">
        <v>111</v>
      </c>
      <c r="U142" s="14" t="s">
        <v>111</v>
      </c>
      <c r="V142" s="14" t="s">
        <v>111</v>
      </c>
      <c r="W142" s="14" t="s">
        <v>111</v>
      </c>
      <c r="X142" s="14" t="s">
        <v>111</v>
      </c>
      <c r="Y142" s="14" t="s">
        <v>111</v>
      </c>
      <c r="Z142" s="14" t="s">
        <v>111</v>
      </c>
      <c r="AA142" s="14" t="s">
        <v>111</v>
      </c>
      <c r="AB142" s="32" t="s">
        <v>173</v>
      </c>
    </row>
    <row r="143" spans="1:35" s="44" customFormat="1">
      <c r="A143" s="42">
        <v>129</v>
      </c>
      <c r="B143" s="43">
        <v>43294.375</v>
      </c>
      <c r="C143" s="43">
        <v>43305.638888888891</v>
      </c>
      <c r="D143" s="28">
        <v>0.91</v>
      </c>
      <c r="E143" s="19">
        <v>0</v>
      </c>
      <c r="F143" s="42" t="s">
        <v>19</v>
      </c>
      <c r="G143" s="20" t="s">
        <v>20</v>
      </c>
      <c r="H143" s="26">
        <v>4.8788999999999999E-2</v>
      </c>
      <c r="I143" s="27">
        <v>147.13</v>
      </c>
      <c r="J143" s="27">
        <v>173.93</v>
      </c>
      <c r="K143" s="27">
        <v>2222.63</v>
      </c>
      <c r="L143" s="27">
        <v>42.67</v>
      </c>
      <c r="M143" s="27">
        <v>122.84</v>
      </c>
      <c r="N143" s="19" t="s">
        <v>112</v>
      </c>
      <c r="O143" s="19" t="s">
        <v>112</v>
      </c>
      <c r="P143" s="19" t="s">
        <v>112</v>
      </c>
      <c r="Q143" s="19" t="s">
        <v>112</v>
      </c>
      <c r="R143" s="19" t="s">
        <v>112</v>
      </c>
      <c r="S143" s="19" t="s">
        <v>112</v>
      </c>
      <c r="T143" s="19" t="s">
        <v>112</v>
      </c>
      <c r="U143" s="19" t="s">
        <v>112</v>
      </c>
      <c r="V143" s="19" t="s">
        <v>112</v>
      </c>
      <c r="W143" s="19" t="s">
        <v>112</v>
      </c>
      <c r="X143" s="19" t="s">
        <v>112</v>
      </c>
      <c r="Y143" s="19" t="s">
        <v>112</v>
      </c>
      <c r="Z143" s="19" t="s">
        <v>112</v>
      </c>
      <c r="AA143" s="19" t="s">
        <v>112</v>
      </c>
      <c r="AB143" s="44" t="s">
        <v>174</v>
      </c>
    </row>
    <row r="144" spans="1:35">
      <c r="A144" s="42">
        <v>130</v>
      </c>
      <c r="B144" s="43">
        <v>43305.638888888891</v>
      </c>
      <c r="C144" s="43">
        <v>43319.517361111109</v>
      </c>
      <c r="D144" s="28">
        <v>0.5</v>
      </c>
      <c r="E144" s="19">
        <v>0</v>
      </c>
      <c r="F144" s="42" t="s">
        <v>19</v>
      </c>
      <c r="G144" s="16" t="s">
        <v>20</v>
      </c>
      <c r="H144" s="23">
        <v>4.5730311361774995E-2</v>
      </c>
      <c r="I144" s="27">
        <v>372.12</v>
      </c>
      <c r="J144" s="27">
        <v>26.25</v>
      </c>
      <c r="K144" s="27">
        <v>743.73</v>
      </c>
      <c r="L144" s="27">
        <v>24.75</v>
      </c>
      <c r="M144" s="27">
        <v>78.540000000000006</v>
      </c>
      <c r="N144" s="17">
        <f t="shared" ref="N144:N164" si="124">$D144*I144/($H144*100)</f>
        <v>40.686361946689836</v>
      </c>
      <c r="O144" s="17">
        <f t="shared" ref="O144:O164" si="125">$D144*J144/($H144*100)</f>
        <v>2.870087609106224</v>
      </c>
      <c r="P144" s="15">
        <f t="shared" ref="P144:P164" si="126">N144+O144</f>
        <v>43.556449555796057</v>
      </c>
      <c r="Q144" s="17">
        <f t="shared" ref="Q144:Q164" si="127">$D144*K144/($H144*100)</f>
        <v>81.31696219125989</v>
      </c>
      <c r="R144" s="17">
        <f t="shared" ref="R144:R164" si="128">Q144+N144</f>
        <v>122.00332413794973</v>
      </c>
      <c r="S144" s="17">
        <f t="shared" ref="S144:S164" si="129">$D144*L144/($H144*100)</f>
        <v>2.7060826028715828</v>
      </c>
      <c r="T144" s="17">
        <f t="shared" si="116"/>
        <v>8.5873021264458238</v>
      </c>
      <c r="U144" s="17">
        <f t="shared" ref="U144:U164" si="130">N144/($C144-$B144)</f>
        <v>2.9316167727419074</v>
      </c>
      <c r="V144" s="17">
        <f t="shared" ref="V144:V164" si="131">O144/($C144-$B144)</f>
        <v>0.20680140891238055</v>
      </c>
      <c r="W144" s="17">
        <f t="shared" ref="W144:W164" si="132">P144/($C144-$B144)</f>
        <v>3.1384181816542873</v>
      </c>
      <c r="X144" s="17">
        <f t="shared" ref="X144:X164" si="133">Q144/($C144-$B144)</f>
        <v>5.8592156895392309</v>
      </c>
      <c r="Y144" s="17">
        <f t="shared" ref="Y144:Y164" si="134">R144/($C144-$B144)</f>
        <v>8.7908324622811378</v>
      </c>
      <c r="Z144" s="17">
        <f t="shared" ref="Z144:Z164" si="135">S144/($C144-$B144)</f>
        <v>0.19498418554595884</v>
      </c>
      <c r="AA144" s="17">
        <f t="shared" ref="AA144:AA164" si="136">T144/($C144-$B144)</f>
        <v>0.61874981546584273</v>
      </c>
      <c r="AB144" s="44" t="s">
        <v>169</v>
      </c>
      <c r="AC144" s="44"/>
      <c r="AD144" s="44"/>
      <c r="AE144" s="44"/>
      <c r="AF144" s="44"/>
      <c r="AG144" s="44"/>
      <c r="AH144" s="44"/>
      <c r="AI144" s="44"/>
    </row>
    <row r="145" spans="1:35">
      <c r="A145" s="42">
        <v>131</v>
      </c>
      <c r="B145" s="43">
        <v>43319.517361111109</v>
      </c>
      <c r="C145" s="43">
        <v>43326.416666666664</v>
      </c>
      <c r="D145" s="28">
        <v>1.86</v>
      </c>
      <c r="E145" s="19">
        <v>0</v>
      </c>
      <c r="F145" s="42" t="s">
        <v>19</v>
      </c>
      <c r="G145" s="16" t="s">
        <v>20</v>
      </c>
      <c r="H145" s="23">
        <v>4.8788999999999999E-2</v>
      </c>
      <c r="I145" s="27">
        <v>63.24</v>
      </c>
      <c r="J145" s="27">
        <v>56.88</v>
      </c>
      <c r="K145" s="27">
        <v>93.88</v>
      </c>
      <c r="L145" s="27">
        <v>0.91</v>
      </c>
      <c r="M145" s="27">
        <v>23.25</v>
      </c>
      <c r="N145" s="17">
        <f t="shared" si="124"/>
        <v>24.109204943737321</v>
      </c>
      <c r="O145" s="17">
        <f t="shared" si="125"/>
        <v>21.684560044272278</v>
      </c>
      <c r="P145" s="15">
        <f t="shared" si="126"/>
        <v>45.793764988009599</v>
      </c>
      <c r="Q145" s="17">
        <f t="shared" si="127"/>
        <v>35.7901986103425</v>
      </c>
      <c r="R145" s="17">
        <f t="shared" si="128"/>
        <v>59.899403554079825</v>
      </c>
      <c r="S145" s="17">
        <f t="shared" si="129"/>
        <v>0.34692246203037574</v>
      </c>
      <c r="T145" s="17">
        <f t="shared" si="116"/>
        <v>8.8636782881387219</v>
      </c>
      <c r="U145" s="17">
        <f t="shared" si="130"/>
        <v>3.4944393677892109</v>
      </c>
      <c r="V145" s="17">
        <f t="shared" si="131"/>
        <v>3.1430061865883983</v>
      </c>
      <c r="W145" s="17">
        <f t="shared" si="132"/>
        <v>6.6374455543776092</v>
      </c>
      <c r="X145" s="17">
        <f t="shared" si="133"/>
        <v>5.1875073979767734</v>
      </c>
      <c r="Y145" s="17">
        <f t="shared" si="134"/>
        <v>8.6819467657659839</v>
      </c>
      <c r="Z145" s="17">
        <f t="shared" si="135"/>
        <v>5.0283678442254613E-2</v>
      </c>
      <c r="AA145" s="17">
        <f t="shared" si="136"/>
        <v>1.284720355804857</v>
      </c>
      <c r="AB145" s="44" t="s">
        <v>168</v>
      </c>
      <c r="AC145" s="44"/>
      <c r="AD145" s="44"/>
      <c r="AE145" s="44"/>
      <c r="AF145" s="44"/>
      <c r="AG145" s="44"/>
      <c r="AH145" s="44"/>
      <c r="AI145" s="44"/>
    </row>
    <row r="146" spans="1:35">
      <c r="A146" s="42">
        <v>132</v>
      </c>
      <c r="B146" s="43">
        <v>43326.416666666664</v>
      </c>
      <c r="C146" s="43">
        <v>43336.413194444445</v>
      </c>
      <c r="D146" s="28">
        <v>0.42</v>
      </c>
      <c r="E146" s="19">
        <v>0</v>
      </c>
      <c r="F146" s="42" t="s">
        <v>19</v>
      </c>
      <c r="G146" s="16" t="s">
        <v>20</v>
      </c>
      <c r="H146" s="23">
        <v>4.5730311361774995E-2</v>
      </c>
      <c r="I146" s="27">
        <v>318.98</v>
      </c>
      <c r="J146" s="27">
        <v>446.36</v>
      </c>
      <c r="K146" s="27">
        <v>776.23</v>
      </c>
      <c r="L146" s="27">
        <v>2.98</v>
      </c>
      <c r="M146" s="27">
        <v>10.11</v>
      </c>
      <c r="N146" s="17">
        <f t="shared" si="124"/>
        <v>29.296017457686506</v>
      </c>
      <c r="O146" s="17">
        <f t="shared" si="125"/>
        <v>40.994953766420934</v>
      </c>
      <c r="P146" s="15">
        <f t="shared" si="126"/>
        <v>70.290971224107437</v>
      </c>
      <c r="Q146" s="17">
        <f t="shared" si="127"/>
        <v>71.291139354128774</v>
      </c>
      <c r="R146" s="17">
        <f t="shared" si="128"/>
        <v>100.58715681181528</v>
      </c>
      <c r="S146" s="17">
        <f t="shared" si="129"/>
        <v>0.27369155440436954</v>
      </c>
      <c r="T146" s="17">
        <f t="shared" si="116"/>
        <v>0.92853074329804564</v>
      </c>
      <c r="U146" s="17">
        <f t="shared" si="130"/>
        <v>2.9306193219211476</v>
      </c>
      <c r="V146" s="17">
        <f t="shared" si="131"/>
        <v>4.1009193069556824</v>
      </c>
      <c r="W146" s="17">
        <f t="shared" si="132"/>
        <v>7.03153862887683</v>
      </c>
      <c r="X146" s="17">
        <f t="shared" si="133"/>
        <v>7.1315901820015437</v>
      </c>
      <c r="Y146" s="17">
        <f t="shared" si="134"/>
        <v>10.062209503922691</v>
      </c>
      <c r="Z146" s="17">
        <f t="shared" si="135"/>
        <v>2.7378661920261525E-2</v>
      </c>
      <c r="AA146" s="17">
        <f t="shared" si="136"/>
        <v>9.2885326179142289E-2</v>
      </c>
      <c r="AB146" s="44"/>
      <c r="AC146" s="44"/>
      <c r="AD146" s="44"/>
      <c r="AE146" s="44"/>
      <c r="AF146" s="44"/>
      <c r="AG146" s="44"/>
      <c r="AH146" s="44"/>
      <c r="AI146" s="44"/>
    </row>
    <row r="147" spans="1:35" s="44" customFormat="1">
      <c r="A147" s="42">
        <v>133</v>
      </c>
      <c r="B147" s="43">
        <v>43336.413194444445</v>
      </c>
      <c r="C147" s="43">
        <v>43353.357638888891</v>
      </c>
      <c r="D147" s="28">
        <v>0.5</v>
      </c>
      <c r="E147" s="19">
        <v>0</v>
      </c>
      <c r="F147" s="42" t="s">
        <v>19</v>
      </c>
      <c r="H147" s="26">
        <v>4.8788999999999999E-2</v>
      </c>
      <c r="I147" s="27">
        <v>268.93</v>
      </c>
      <c r="J147" s="27">
        <v>20.34</v>
      </c>
      <c r="K147" s="27">
        <v>324.52999999999997</v>
      </c>
      <c r="L147" s="27">
        <v>7.11</v>
      </c>
      <c r="M147" s="27">
        <v>29.06</v>
      </c>
      <c r="N147" s="19" t="s">
        <v>111</v>
      </c>
      <c r="O147" s="19" t="s">
        <v>111</v>
      </c>
      <c r="P147" s="19" t="s">
        <v>111</v>
      </c>
      <c r="Q147" s="19" t="s">
        <v>111</v>
      </c>
      <c r="R147" s="19" t="s">
        <v>111</v>
      </c>
      <c r="S147" s="19" t="s">
        <v>111</v>
      </c>
      <c r="T147" s="19" t="s">
        <v>111</v>
      </c>
      <c r="U147" s="19" t="s">
        <v>111</v>
      </c>
      <c r="V147" s="19" t="s">
        <v>111</v>
      </c>
      <c r="W147" s="19" t="s">
        <v>111</v>
      </c>
      <c r="X147" s="19" t="s">
        <v>111</v>
      </c>
      <c r="Y147" s="19" t="s">
        <v>111</v>
      </c>
      <c r="Z147" s="19" t="s">
        <v>111</v>
      </c>
      <c r="AA147" s="19" t="s">
        <v>111</v>
      </c>
      <c r="AB147" s="44" t="s">
        <v>175</v>
      </c>
      <c r="AH147" s="20"/>
    </row>
    <row r="148" spans="1:35">
      <c r="A148" s="42">
        <v>134</v>
      </c>
      <c r="B148" s="43">
        <v>43353.357638888891</v>
      </c>
      <c r="C148" s="43">
        <v>43367.510416666664</v>
      </c>
      <c r="D148" s="28">
        <v>0.5</v>
      </c>
      <c r="E148" s="19">
        <v>0</v>
      </c>
      <c r="F148" s="42" t="s">
        <v>19</v>
      </c>
      <c r="G148" s="16" t="s">
        <v>20</v>
      </c>
      <c r="H148" s="23">
        <v>4.5730311361774995E-2</v>
      </c>
      <c r="I148" s="27">
        <v>202.77</v>
      </c>
      <c r="J148" s="27">
        <v>184.75</v>
      </c>
      <c r="K148" s="27">
        <v>390.5</v>
      </c>
      <c r="L148" s="27">
        <v>3.66</v>
      </c>
      <c r="M148" s="27">
        <v>21.17</v>
      </c>
      <c r="N148" s="17">
        <f t="shared" si="124"/>
        <v>22.170196742798822</v>
      </c>
      <c r="O148" s="17">
        <f t="shared" si="125"/>
        <v>20.199949934566664</v>
      </c>
      <c r="P148" s="15">
        <f t="shared" si="126"/>
        <v>42.370146677365483</v>
      </c>
      <c r="Q148" s="17">
        <f t="shared" si="127"/>
        <v>42.695969956418303</v>
      </c>
      <c r="R148" s="17">
        <f t="shared" si="128"/>
        <v>64.866166699217132</v>
      </c>
      <c r="S148" s="17">
        <f t="shared" si="129"/>
        <v>0.400172215212525</v>
      </c>
      <c r="T148" s="17">
        <f t="shared" si="116"/>
        <v>2.3146573213249053</v>
      </c>
      <c r="U148" s="17">
        <f t="shared" si="130"/>
        <v>1.5664908395308843</v>
      </c>
      <c r="V148" s="17">
        <f t="shared" si="131"/>
        <v>1.4272781111768549</v>
      </c>
      <c r="W148" s="17">
        <f t="shared" si="132"/>
        <v>2.993768950707739</v>
      </c>
      <c r="X148" s="17">
        <f t="shared" si="133"/>
        <v>3.0167908114455306</v>
      </c>
      <c r="Y148" s="17">
        <f t="shared" si="134"/>
        <v>4.5832816509764154</v>
      </c>
      <c r="Z148" s="17">
        <f t="shared" si="135"/>
        <v>2.8275171241717398E-2</v>
      </c>
      <c r="AA148" s="17">
        <f t="shared" si="136"/>
        <v>0.16354791671780253</v>
      </c>
      <c r="AB148" s="44" t="s">
        <v>170</v>
      </c>
      <c r="AC148" s="44"/>
      <c r="AD148" s="44"/>
      <c r="AE148" s="44"/>
      <c r="AF148" s="44"/>
      <c r="AG148" s="44"/>
      <c r="AH148" s="44"/>
      <c r="AI148" s="44"/>
    </row>
    <row r="149" spans="1:35" s="44" customFormat="1">
      <c r="A149" s="42">
        <v>135</v>
      </c>
      <c r="B149" s="43">
        <v>43367.510416666664</v>
      </c>
      <c r="C149" s="43">
        <v>43376.361111111109</v>
      </c>
      <c r="D149" s="28">
        <v>1.325</v>
      </c>
      <c r="E149" s="19">
        <v>0</v>
      </c>
      <c r="F149" s="42" t="s">
        <v>19</v>
      </c>
      <c r="G149" s="20" t="s">
        <v>20</v>
      </c>
      <c r="H149" s="26">
        <v>4.8788999999999999E-2</v>
      </c>
      <c r="I149" s="27">
        <v>97.51</v>
      </c>
      <c r="J149" s="27">
        <v>281.41000000000003</v>
      </c>
      <c r="K149" s="27">
        <v>376.42</v>
      </c>
      <c r="L149" s="27">
        <v>1.59</v>
      </c>
      <c r="M149" s="27">
        <v>9.92</v>
      </c>
      <c r="N149" s="19">
        <f t="shared" si="124"/>
        <v>26.481532722539917</v>
      </c>
      <c r="O149" s="19">
        <f t="shared" si="125"/>
        <v>76.424655147676745</v>
      </c>
      <c r="P149" s="166">
        <f t="shared" si="126"/>
        <v>102.90618787021666</v>
      </c>
      <c r="Q149" s="19">
        <f t="shared" si="127"/>
        <v>102.22724384594889</v>
      </c>
      <c r="R149" s="19">
        <f t="shared" si="128"/>
        <v>128.70877656848882</v>
      </c>
      <c r="S149" s="19">
        <f t="shared" si="129"/>
        <v>0.43180839943429872</v>
      </c>
      <c r="T149" s="19">
        <f t="shared" si="116"/>
        <v>2.6940498882944928</v>
      </c>
      <c r="U149" s="19">
        <f t="shared" si="130"/>
        <v>2.9920288050571986</v>
      </c>
      <c r="V149" s="19">
        <f t="shared" si="131"/>
        <v>8.6348766898897189</v>
      </c>
      <c r="W149" s="19">
        <f t="shared" si="132"/>
        <v>11.626905494946916</v>
      </c>
      <c r="X149" s="19">
        <f t="shared" si="133"/>
        <v>11.55019467541412</v>
      </c>
      <c r="Y149" s="19">
        <f t="shared" si="134"/>
        <v>14.54222348047132</v>
      </c>
      <c r="Z149" s="19">
        <f t="shared" si="135"/>
        <v>4.8788081222858638E-2</v>
      </c>
      <c r="AA149" s="19">
        <f t="shared" si="136"/>
        <v>0.30438853190613696</v>
      </c>
    </row>
    <row r="150" spans="1:35">
      <c r="A150" s="42">
        <v>136</v>
      </c>
      <c r="B150" s="43">
        <v>43376.361111111109</v>
      </c>
      <c r="C150" s="43">
        <v>43390.40625</v>
      </c>
      <c r="D150" s="28">
        <v>0.92700000000000005</v>
      </c>
      <c r="E150" s="19">
        <f>323/824</f>
        <v>0.39199029126213591</v>
      </c>
      <c r="F150" s="2" t="s">
        <v>66</v>
      </c>
      <c r="G150" s="16" t="s">
        <v>20</v>
      </c>
      <c r="H150" s="23">
        <v>4.5730311361774995E-2</v>
      </c>
      <c r="I150" s="27">
        <v>226.06</v>
      </c>
      <c r="J150" s="27">
        <v>378.7</v>
      </c>
      <c r="K150" s="27">
        <v>378.7</v>
      </c>
      <c r="L150" s="27">
        <v>2.5</v>
      </c>
      <c r="M150" s="27">
        <v>11.78</v>
      </c>
      <c r="N150" s="17">
        <f t="shared" si="124"/>
        <v>45.824665032822146</v>
      </c>
      <c r="O150" s="17">
        <f t="shared" si="125"/>
        <v>76.766348084268543</v>
      </c>
      <c r="P150" s="15">
        <f t="shared" si="126"/>
        <v>122.59101311709068</v>
      </c>
      <c r="Q150" s="17">
        <f t="shared" si="127"/>
        <v>76.766348084268543</v>
      </c>
      <c r="R150" s="17">
        <f t="shared" si="128"/>
        <v>122.59101311709068</v>
      </c>
      <c r="S150" s="17">
        <f t="shared" si="129"/>
        <v>0.5067754692650418</v>
      </c>
      <c r="T150" s="17">
        <f t="shared" si="116"/>
        <v>2.387926011176877</v>
      </c>
      <c r="U150" s="17">
        <f t="shared" si="130"/>
        <v>3.2626708354638465</v>
      </c>
      <c r="V150" s="17">
        <f t="shared" si="131"/>
        <v>5.4656880712649683</v>
      </c>
      <c r="W150" s="17">
        <f t="shared" si="132"/>
        <v>8.728358906728813</v>
      </c>
      <c r="X150" s="17">
        <f t="shared" si="133"/>
        <v>5.4656880712649683</v>
      </c>
      <c r="Y150" s="17">
        <f t="shared" si="134"/>
        <v>8.728358906728813</v>
      </c>
      <c r="Z150" s="17">
        <f t="shared" si="135"/>
        <v>3.6081912273996347E-2</v>
      </c>
      <c r="AA150" s="17">
        <f t="shared" si="136"/>
        <v>0.17001797063507079</v>
      </c>
      <c r="AB150" s="44" t="s">
        <v>176</v>
      </c>
      <c r="AC150" s="44"/>
      <c r="AD150" s="44"/>
      <c r="AE150" s="44"/>
      <c r="AF150" s="44"/>
      <c r="AG150" s="44"/>
      <c r="AH150" s="44"/>
      <c r="AI150" s="44"/>
    </row>
    <row r="151" spans="1:35">
      <c r="A151" s="42">
        <v>137</v>
      </c>
      <c r="B151" s="43">
        <v>43390.40625</v>
      </c>
      <c r="C151" s="43">
        <v>43409.555555555555</v>
      </c>
      <c r="D151" s="28">
        <v>0.48699999999999999</v>
      </c>
      <c r="E151" s="19">
        <v>0</v>
      </c>
      <c r="F151" s="42" t="s">
        <v>19</v>
      </c>
      <c r="G151" s="16" t="s">
        <v>20</v>
      </c>
      <c r="H151" s="23">
        <v>4.8788999999999999E-2</v>
      </c>
      <c r="I151" s="27">
        <v>273.43</v>
      </c>
      <c r="J151" s="27">
        <v>311.26</v>
      </c>
      <c r="K151" s="27">
        <v>646.03</v>
      </c>
      <c r="L151" s="27">
        <v>3.18</v>
      </c>
      <c r="M151" s="27">
        <v>12.46</v>
      </c>
      <c r="N151" s="17">
        <f t="shared" si="124"/>
        <v>27.293121400315648</v>
      </c>
      <c r="O151" s="17">
        <f t="shared" si="125"/>
        <v>31.069220521019083</v>
      </c>
      <c r="P151" s="15">
        <f t="shared" si="126"/>
        <v>58.362341921334732</v>
      </c>
      <c r="Q151" s="17">
        <f t="shared" si="127"/>
        <v>64.485152390907786</v>
      </c>
      <c r="R151" s="17">
        <f t="shared" si="128"/>
        <v>91.778273791223427</v>
      </c>
      <c r="S151" s="17">
        <f t="shared" si="129"/>
        <v>0.31741991022566568</v>
      </c>
      <c r="T151" s="17">
        <f t="shared" si="116"/>
        <v>1.2437270696263505</v>
      </c>
      <c r="U151" s="17">
        <f t="shared" si="130"/>
        <v>1.4252799570791004</v>
      </c>
      <c r="V151" s="17">
        <f t="shared" si="131"/>
        <v>1.6224724406262689</v>
      </c>
      <c r="W151" s="17">
        <f t="shared" si="132"/>
        <v>3.0477523977053695</v>
      </c>
      <c r="X151" s="17">
        <f t="shared" si="133"/>
        <v>3.3674929988363056</v>
      </c>
      <c r="Y151" s="17">
        <f t="shared" si="134"/>
        <v>4.7927729559154058</v>
      </c>
      <c r="Z151" s="17">
        <f t="shared" si="135"/>
        <v>1.6576053335447975E-2</v>
      </c>
      <c r="AA151" s="17">
        <f t="shared" si="136"/>
        <v>6.4948938540780432E-2</v>
      </c>
      <c r="AB151" s="44"/>
      <c r="AC151" s="44"/>
      <c r="AD151" s="44"/>
      <c r="AE151" s="44"/>
      <c r="AF151" s="44"/>
      <c r="AG151" s="44"/>
      <c r="AH151" s="44"/>
      <c r="AI151" s="44"/>
    </row>
    <row r="152" spans="1:35">
      <c r="A152" s="42">
        <v>138</v>
      </c>
      <c r="B152" s="43">
        <v>43409.555555555555</v>
      </c>
      <c r="C152" s="43">
        <v>43423.440972222219</v>
      </c>
      <c r="D152" s="28">
        <v>1.75</v>
      </c>
      <c r="E152" s="19">
        <v>0</v>
      </c>
      <c r="F152" s="42" t="s">
        <v>19</v>
      </c>
      <c r="G152" s="16" t="s">
        <v>20</v>
      </c>
      <c r="H152" s="23">
        <v>4.5730311361774995E-2</v>
      </c>
      <c r="I152" s="27">
        <v>56.08</v>
      </c>
      <c r="J152" s="27">
        <v>45.13</v>
      </c>
      <c r="K152" s="27">
        <v>77.27</v>
      </c>
      <c r="L152" s="27">
        <v>1.1299999999999999</v>
      </c>
      <c r="M152" s="27">
        <v>9.65</v>
      </c>
      <c r="N152" s="17">
        <f t="shared" si="124"/>
        <v>21.46060174915694</v>
      </c>
      <c r="O152" s="17">
        <f t="shared" si="125"/>
        <v>17.270273839861854</v>
      </c>
      <c r="P152" s="15">
        <f t="shared" si="126"/>
        <v>38.730875589018794</v>
      </c>
      <c r="Q152" s="17">
        <f t="shared" si="127"/>
        <v>29.569555940751723</v>
      </c>
      <c r="R152" s="17">
        <f t="shared" si="128"/>
        <v>51.030157689908663</v>
      </c>
      <c r="S152" s="17">
        <f t="shared" si="129"/>
        <v>0.43242653310533774</v>
      </c>
      <c r="T152" s="17">
        <f t="shared" si="116"/>
        <v>3.6928460570500081</v>
      </c>
      <c r="U152" s="17">
        <f t="shared" si="130"/>
        <v>1.5455497133679115</v>
      </c>
      <c r="V152" s="17">
        <f t="shared" si="131"/>
        <v>1.2437706591350544</v>
      </c>
      <c r="W152" s="17">
        <f t="shared" si="132"/>
        <v>2.7893203725029658</v>
      </c>
      <c r="X152" s="17">
        <f t="shared" si="133"/>
        <v>2.1295404128377053</v>
      </c>
      <c r="Y152" s="17">
        <f t="shared" si="134"/>
        <v>3.675090126205617</v>
      </c>
      <c r="Z152" s="17">
        <f t="shared" si="135"/>
        <v>3.1142496007591655E-2</v>
      </c>
      <c r="AA152" s="17">
        <f t="shared" si="136"/>
        <v>0.2659514039586367</v>
      </c>
      <c r="AB152" s="44"/>
      <c r="AC152" s="44"/>
      <c r="AD152" s="44"/>
      <c r="AE152" s="44"/>
      <c r="AF152" s="44"/>
      <c r="AG152" s="44"/>
      <c r="AH152" s="44"/>
      <c r="AI152" s="44"/>
    </row>
    <row r="153" spans="1:35">
      <c r="A153" s="42">
        <v>139</v>
      </c>
      <c r="B153" s="43">
        <v>43423.440972222219</v>
      </c>
      <c r="C153" s="43">
        <v>43437.470833333333</v>
      </c>
      <c r="D153" s="28">
        <v>2.1150000000000002</v>
      </c>
      <c r="E153" s="19">
        <f>137/824</f>
        <v>0.16626213592233011</v>
      </c>
      <c r="F153" s="2" t="s">
        <v>66</v>
      </c>
      <c r="G153" s="16" t="s">
        <v>20</v>
      </c>
      <c r="H153" s="23">
        <v>4.8788999999999999E-2</v>
      </c>
      <c r="I153" s="27">
        <v>42.21</v>
      </c>
      <c r="J153" s="27">
        <v>29.39</v>
      </c>
      <c r="K153" s="27">
        <v>72.87</v>
      </c>
      <c r="L153" s="27">
        <v>1.36</v>
      </c>
      <c r="M153" s="27">
        <v>3.45</v>
      </c>
      <c r="N153" s="17">
        <f t="shared" si="124"/>
        <v>18.298007747648036</v>
      </c>
      <c r="O153" s="17">
        <f t="shared" si="125"/>
        <v>12.740546024718688</v>
      </c>
      <c r="P153" s="15">
        <f t="shared" si="126"/>
        <v>31.038553772366726</v>
      </c>
      <c r="Q153" s="17">
        <f t="shared" si="127"/>
        <v>31.589097952407311</v>
      </c>
      <c r="R153" s="17">
        <f t="shared" si="128"/>
        <v>49.887105700055344</v>
      </c>
      <c r="S153" s="17">
        <f t="shared" si="129"/>
        <v>0.58955912193322269</v>
      </c>
      <c r="T153" s="17">
        <f t="shared" si="116"/>
        <v>1.49557277255119</v>
      </c>
      <c r="U153" s="17">
        <f t="shared" si="130"/>
        <v>1.3042187376433207</v>
      </c>
      <c r="V153" s="17">
        <f t="shared" si="131"/>
        <v>0.90810207769100215</v>
      </c>
      <c r="W153" s="17">
        <f t="shared" si="132"/>
        <v>2.2123208153343232</v>
      </c>
      <c r="X153" s="17">
        <f t="shared" si="133"/>
        <v>2.2515617013046385</v>
      </c>
      <c r="Y153" s="17">
        <f t="shared" si="134"/>
        <v>3.5557804389479593</v>
      </c>
      <c r="Z153" s="17">
        <f t="shared" si="135"/>
        <v>4.2021736157188259E-2</v>
      </c>
      <c r="AA153" s="17">
        <f t="shared" si="136"/>
        <v>0.10659925716345552</v>
      </c>
      <c r="AB153" s="44" t="s">
        <v>171</v>
      </c>
      <c r="AC153" s="44"/>
      <c r="AD153" s="44"/>
      <c r="AE153" s="44"/>
      <c r="AF153" s="44"/>
      <c r="AG153" s="44"/>
      <c r="AH153" s="44"/>
      <c r="AI153" s="44"/>
    </row>
    <row r="154" spans="1:35">
      <c r="A154" s="42">
        <v>140</v>
      </c>
      <c r="B154" s="43">
        <v>43437.470833333333</v>
      </c>
      <c r="C154" s="43">
        <v>43453.458333333336</v>
      </c>
      <c r="D154" s="28">
        <v>1.548</v>
      </c>
      <c r="E154" s="19">
        <f>53/824</f>
        <v>6.4320388349514562E-2</v>
      </c>
      <c r="F154" s="2" t="s">
        <v>66</v>
      </c>
      <c r="G154" s="16" t="s">
        <v>20</v>
      </c>
      <c r="H154" s="23">
        <v>4.5730311361774995E-2</v>
      </c>
      <c r="I154" s="27">
        <v>74.209999999999994</v>
      </c>
      <c r="J154" s="27">
        <v>40.06</v>
      </c>
      <c r="K154" s="27">
        <v>52.19</v>
      </c>
      <c r="L154" s="27">
        <v>0.91</v>
      </c>
      <c r="M154" s="27">
        <v>5.0199999999999996</v>
      </c>
      <c r="N154" s="17">
        <f t="shared" si="124"/>
        <v>25.120554962156525</v>
      </c>
      <c r="O154" s="17">
        <f t="shared" si="125"/>
        <v>13.56056369470409</v>
      </c>
      <c r="P154" s="15">
        <f t="shared" si="126"/>
        <v>38.681118656860619</v>
      </c>
      <c r="Q154" s="17">
        <f t="shared" si="127"/>
        <v>17.666645512396567</v>
      </c>
      <c r="R154" s="17">
        <f t="shared" si="128"/>
        <v>42.787200474553089</v>
      </c>
      <c r="S154" s="17">
        <f t="shared" si="129"/>
        <v>0.30804076291015287</v>
      </c>
      <c r="T154" s="17">
        <f t="shared" si="116"/>
        <v>1.699301790998865</v>
      </c>
      <c r="U154" s="17">
        <f t="shared" si="130"/>
        <v>1.5712622337546178</v>
      </c>
      <c r="V154" s="17">
        <f t="shared" si="131"/>
        <v>0.84819788551691144</v>
      </c>
      <c r="W154" s="17">
        <f t="shared" si="132"/>
        <v>2.4194601192715295</v>
      </c>
      <c r="X154" s="17">
        <f t="shared" si="133"/>
        <v>1.1050286481559564</v>
      </c>
      <c r="Y154" s="17">
        <f t="shared" si="134"/>
        <v>2.6762908819105737</v>
      </c>
      <c r="Z154" s="17">
        <f t="shared" si="135"/>
        <v>1.9267600494767587E-2</v>
      </c>
      <c r="AA154" s="17">
        <f t="shared" si="136"/>
        <v>0.10628940053157503</v>
      </c>
      <c r="AB154" s="44"/>
      <c r="AC154" s="44"/>
      <c r="AD154" s="44"/>
      <c r="AE154" s="44"/>
      <c r="AF154" s="44"/>
      <c r="AG154" s="44"/>
      <c r="AH154" s="44"/>
      <c r="AI154" s="44"/>
    </row>
    <row r="155" spans="1:35">
      <c r="A155" s="42">
        <v>141</v>
      </c>
      <c r="B155" s="43">
        <v>43453.458333333336</v>
      </c>
      <c r="C155" s="43">
        <v>43468.45</v>
      </c>
      <c r="D155" s="28">
        <v>2.06</v>
      </c>
      <c r="E155" s="19">
        <f>765/824</f>
        <v>0.92839805825242716</v>
      </c>
      <c r="F155" s="42" t="s">
        <v>64</v>
      </c>
      <c r="G155" s="16" t="s">
        <v>20</v>
      </c>
      <c r="H155" s="23">
        <v>4.8788999999999999E-2</v>
      </c>
      <c r="I155" s="27">
        <v>43.92</v>
      </c>
      <c r="J155" s="27">
        <v>11.54</v>
      </c>
      <c r="K155" s="27">
        <v>53.26</v>
      </c>
      <c r="L155" s="27">
        <v>0.91</v>
      </c>
      <c r="M155" s="27">
        <v>4.71</v>
      </c>
      <c r="N155" s="17">
        <f t="shared" si="124"/>
        <v>18.544180040582919</v>
      </c>
      <c r="O155" s="17">
        <f t="shared" si="125"/>
        <v>4.8724917501895915</v>
      </c>
      <c r="P155" s="15">
        <f t="shared" si="126"/>
        <v>23.416671790772511</v>
      </c>
      <c r="Q155" s="17">
        <f t="shared" si="127"/>
        <v>22.487773883457336</v>
      </c>
      <c r="R155" s="17">
        <f t="shared" si="128"/>
        <v>41.031953924040252</v>
      </c>
      <c r="S155" s="17">
        <f t="shared" si="129"/>
        <v>0.38422595257127634</v>
      </c>
      <c r="T155" s="17">
        <f t="shared" si="116"/>
        <v>1.9886859742974852</v>
      </c>
      <c r="U155" s="17">
        <f t="shared" si="130"/>
        <v>1.2369658726352097</v>
      </c>
      <c r="V155" s="17">
        <f t="shared" si="131"/>
        <v>0.32501334631626405</v>
      </c>
      <c r="W155" s="17">
        <f t="shared" si="132"/>
        <v>1.5619792189514738</v>
      </c>
      <c r="X155" s="17">
        <f t="shared" si="133"/>
        <v>1.50001826904716</v>
      </c>
      <c r="Y155" s="17">
        <f t="shared" si="134"/>
        <v>2.7369841416823695</v>
      </c>
      <c r="Z155" s="17">
        <f t="shared" si="135"/>
        <v>2.5629302005875248E-2</v>
      </c>
      <c r="AA155" s="17">
        <f t="shared" si="136"/>
        <v>0.13265276093150816</v>
      </c>
      <c r="AB155" s="44"/>
      <c r="AC155" s="44"/>
      <c r="AD155" s="44"/>
      <c r="AE155" s="44"/>
      <c r="AF155" s="44"/>
      <c r="AG155" s="44"/>
      <c r="AH155" s="44"/>
      <c r="AI155" s="44"/>
    </row>
    <row r="156" spans="1:35">
      <c r="A156" s="42">
        <v>142</v>
      </c>
      <c r="B156" s="43">
        <v>43468.45</v>
      </c>
      <c r="C156" s="43">
        <v>43476.524305555555</v>
      </c>
      <c r="D156" s="28">
        <v>2.48</v>
      </c>
      <c r="E156" s="19">
        <f>151/824</f>
        <v>0.18325242718446602</v>
      </c>
      <c r="F156" s="2" t="s">
        <v>66</v>
      </c>
      <c r="G156" s="16" t="s">
        <v>20</v>
      </c>
      <c r="H156" s="23">
        <v>4.5730311361774995E-2</v>
      </c>
      <c r="I156" s="27">
        <v>20.02</v>
      </c>
      <c r="J156" s="27">
        <v>11.33</v>
      </c>
      <c r="K156" s="27">
        <v>58.27</v>
      </c>
      <c r="L156" s="27">
        <v>1.36</v>
      </c>
      <c r="M156" s="27">
        <v>6.19</v>
      </c>
      <c r="N156" s="17">
        <f t="shared" si="124"/>
        <v>10.857043943396601</v>
      </c>
      <c r="O156" s="17">
        <f t="shared" si="125"/>
        <v>6.1443710229112636</v>
      </c>
      <c r="P156" s="15">
        <f t="shared" si="126"/>
        <v>17.001414966307863</v>
      </c>
      <c r="Q156" s="17">
        <f t="shared" si="127"/>
        <v>31.600397131954043</v>
      </c>
      <c r="R156" s="17">
        <f t="shared" si="128"/>
        <v>42.457441075350644</v>
      </c>
      <c r="S156" s="17">
        <f t="shared" si="129"/>
        <v>0.73754144670426469</v>
      </c>
      <c r="T156" s="17">
        <f t="shared" si="116"/>
        <v>3.3568982022789688</v>
      </c>
      <c r="U156" s="17">
        <f t="shared" si="130"/>
        <v>1.3446412039637943</v>
      </c>
      <c r="V156" s="17">
        <f t="shared" si="131"/>
        <v>0.76097826378170774</v>
      </c>
      <c r="W156" s="17">
        <f t="shared" si="132"/>
        <v>2.1056194677455018</v>
      </c>
      <c r="X156" s="17">
        <f t="shared" si="133"/>
        <v>3.9136984492992153</v>
      </c>
      <c r="Y156" s="17">
        <f t="shared" si="134"/>
        <v>5.2583396532630093</v>
      </c>
      <c r="Z156" s="17">
        <f t="shared" si="135"/>
        <v>9.1344257611926091E-2</v>
      </c>
      <c r="AA156" s="17">
        <f t="shared" si="136"/>
        <v>0.4157507019248694</v>
      </c>
      <c r="AB156" s="44"/>
      <c r="AC156" s="44"/>
      <c r="AD156" s="44"/>
      <c r="AE156" s="44"/>
      <c r="AF156" s="44"/>
      <c r="AG156" s="44"/>
      <c r="AH156" s="44"/>
      <c r="AI156" s="44"/>
    </row>
    <row r="157" spans="1:35">
      <c r="A157" s="42">
        <v>143</v>
      </c>
      <c r="B157" s="43">
        <v>43476.524305555555</v>
      </c>
      <c r="C157" s="43">
        <v>43495.448611111111</v>
      </c>
      <c r="D157" s="28">
        <v>2.1850000000000001</v>
      </c>
      <c r="E157" s="19">
        <f>980/824</f>
        <v>1.1893203883495145</v>
      </c>
      <c r="F157" s="42" t="s">
        <v>53</v>
      </c>
      <c r="G157" s="16" t="s">
        <v>20</v>
      </c>
      <c r="H157" s="23">
        <v>4.8788999999999999E-2</v>
      </c>
      <c r="I157" s="27">
        <v>55.35</v>
      </c>
      <c r="J157" s="27">
        <v>27.53</v>
      </c>
      <c r="K157" s="27">
        <v>66.34</v>
      </c>
      <c r="L157" s="27">
        <v>2.0299999999999998</v>
      </c>
      <c r="M157" s="27">
        <v>7.43</v>
      </c>
      <c r="N157" s="17">
        <f t="shared" si="124"/>
        <v>24.788323187603766</v>
      </c>
      <c r="O157" s="17">
        <f t="shared" si="125"/>
        <v>12.329223800446824</v>
      </c>
      <c r="P157" s="15">
        <f t="shared" si="126"/>
        <v>37.117546988050591</v>
      </c>
      <c r="Q157" s="17">
        <f t="shared" si="127"/>
        <v>29.710160077066554</v>
      </c>
      <c r="R157" s="17">
        <f t="shared" si="128"/>
        <v>54.49848326467032</v>
      </c>
      <c r="S157" s="17">
        <f t="shared" si="129"/>
        <v>0.9091291069708336</v>
      </c>
      <c r="T157" s="17">
        <f t="shared" si="116"/>
        <v>3.3275021008833958</v>
      </c>
      <c r="U157" s="17">
        <f t="shared" si="130"/>
        <v>1.3098669916754688</v>
      </c>
      <c r="V157" s="17">
        <f t="shared" si="131"/>
        <v>0.6515020466273832</v>
      </c>
      <c r="W157" s="17">
        <f t="shared" si="132"/>
        <v>1.9613690383028521</v>
      </c>
      <c r="X157" s="17">
        <f t="shared" si="133"/>
        <v>1.5699471766531274</v>
      </c>
      <c r="Y157" s="17">
        <f t="shared" si="134"/>
        <v>2.8798141683285965</v>
      </c>
      <c r="Z157" s="17">
        <f t="shared" si="135"/>
        <v>4.8040288944917825E-2</v>
      </c>
      <c r="AA157" s="17">
        <f t="shared" si="136"/>
        <v>0.17583219057179283</v>
      </c>
      <c r="AB157" s="44"/>
      <c r="AC157" s="44"/>
      <c r="AD157" s="44"/>
      <c r="AE157" s="44"/>
      <c r="AF157" s="44"/>
      <c r="AG157" s="44"/>
      <c r="AH157" s="44"/>
      <c r="AI157" s="44"/>
    </row>
    <row r="158" spans="1:35">
      <c r="A158" s="42">
        <v>144</v>
      </c>
      <c r="B158" s="43">
        <v>43495.448611111111</v>
      </c>
      <c r="C158" s="43">
        <v>43515.584722222222</v>
      </c>
      <c r="D158" s="28">
        <v>2.9369999999999998</v>
      </c>
      <c r="E158" s="19">
        <f>2555/824</f>
        <v>3.1007281553398056</v>
      </c>
      <c r="F158" s="42" t="s">
        <v>53</v>
      </c>
      <c r="G158" s="16" t="s">
        <v>20</v>
      </c>
      <c r="H158" s="23">
        <v>4.5730311361774995E-2</v>
      </c>
      <c r="I158" s="27">
        <v>20.45</v>
      </c>
      <c r="J158" s="27">
        <v>10.119999999999999</v>
      </c>
      <c r="K158" s="27">
        <v>92.91</v>
      </c>
      <c r="L158" s="27">
        <v>0.45</v>
      </c>
      <c r="M158" s="27">
        <v>5.27</v>
      </c>
      <c r="N158" s="17">
        <f t="shared" si="124"/>
        <v>13.133881710283797</v>
      </c>
      <c r="O158" s="17">
        <f t="shared" si="125"/>
        <v>6.4995052766783381</v>
      </c>
      <c r="P158" s="15">
        <f t="shared" si="126"/>
        <v>19.633386986962137</v>
      </c>
      <c r="Q158" s="17">
        <f t="shared" si="127"/>
        <v>59.670853286184233</v>
      </c>
      <c r="R158" s="17">
        <f t="shared" si="128"/>
        <v>72.804734996468028</v>
      </c>
      <c r="S158" s="17">
        <f t="shared" si="129"/>
        <v>0.28900962198668506</v>
      </c>
      <c r="T158" s="17">
        <f t="shared" si="116"/>
        <v>3.3846237952662888</v>
      </c>
      <c r="U158" s="17">
        <f t="shared" si="130"/>
        <v>0.65225512701092636</v>
      </c>
      <c r="V158" s="17">
        <f t="shared" si="131"/>
        <v>0.32277857630076157</v>
      </c>
      <c r="W158" s="17">
        <f t="shared" si="132"/>
        <v>0.97503370331168793</v>
      </c>
      <c r="X158" s="17">
        <f t="shared" si="133"/>
        <v>2.9633752494173673</v>
      </c>
      <c r="Y158" s="17">
        <f t="shared" si="134"/>
        <v>3.6156303764282938</v>
      </c>
      <c r="Z158" s="17">
        <f t="shared" si="135"/>
        <v>1.4352802305863907E-2</v>
      </c>
      <c r="AA158" s="17">
        <f t="shared" si="136"/>
        <v>0.16808726255978393</v>
      </c>
      <c r="AB158" s="44"/>
      <c r="AC158" s="44"/>
      <c r="AD158" s="44"/>
      <c r="AE158" s="44"/>
      <c r="AF158" s="44"/>
      <c r="AG158" s="44"/>
      <c r="AH158" s="44"/>
      <c r="AI158" s="44"/>
    </row>
    <row r="159" spans="1:35">
      <c r="A159" s="42">
        <v>145</v>
      </c>
      <c r="B159" s="43">
        <v>43515.584722222222</v>
      </c>
      <c r="C159" s="43">
        <v>43536.424305555556</v>
      </c>
      <c r="D159" s="28">
        <v>2.46</v>
      </c>
      <c r="E159" s="19">
        <f>990/824</f>
        <v>1.2014563106796117</v>
      </c>
      <c r="F159" s="42" t="s">
        <v>53</v>
      </c>
      <c r="G159" s="16" t="s">
        <v>20</v>
      </c>
      <c r="H159" s="23">
        <v>4.8788999999999999E-2</v>
      </c>
      <c r="I159" s="27">
        <v>55.84</v>
      </c>
      <c r="J159" s="27">
        <v>41.21</v>
      </c>
      <c r="K159" s="27">
        <v>258.87</v>
      </c>
      <c r="L159" s="27">
        <v>0.92</v>
      </c>
      <c r="M159" s="27">
        <v>5.92</v>
      </c>
      <c r="N159" s="17">
        <f t="shared" si="124"/>
        <v>28.155198917788848</v>
      </c>
      <c r="O159" s="17">
        <f t="shared" si="125"/>
        <v>20.778577138289368</v>
      </c>
      <c r="P159" s="15">
        <f t="shared" si="126"/>
        <v>48.933776056078216</v>
      </c>
      <c r="Q159" s="17">
        <f t="shared" si="127"/>
        <v>130.52536432392549</v>
      </c>
      <c r="R159" s="17">
        <f t="shared" si="128"/>
        <v>158.68056324171434</v>
      </c>
      <c r="S159" s="17">
        <f t="shared" si="129"/>
        <v>0.46387505380311134</v>
      </c>
      <c r="T159" s="17">
        <f t="shared" si="116"/>
        <v>2.984935128820021</v>
      </c>
      <c r="U159" s="17">
        <f t="shared" si="130"/>
        <v>1.3510442347833669</v>
      </c>
      <c r="V159" s="17">
        <f t="shared" si="131"/>
        <v>0.99707258086358419</v>
      </c>
      <c r="W159" s="17">
        <f t="shared" si="132"/>
        <v>2.348116815646951</v>
      </c>
      <c r="X159" s="17">
        <f t="shared" si="133"/>
        <v>6.2633384860023309</v>
      </c>
      <c r="Y159" s="17">
        <f t="shared" si="134"/>
        <v>7.6143827207856978</v>
      </c>
      <c r="Z159" s="17">
        <f t="shared" si="135"/>
        <v>2.2259324785112774E-2</v>
      </c>
      <c r="AA159" s="17">
        <f t="shared" si="136"/>
        <v>0.14323391600855176</v>
      </c>
      <c r="AB159" s="44"/>
      <c r="AC159" s="44"/>
      <c r="AD159" s="44"/>
      <c r="AE159" s="44"/>
      <c r="AF159" s="44"/>
      <c r="AG159" s="44"/>
      <c r="AH159" s="44"/>
      <c r="AI159" s="44"/>
    </row>
    <row r="160" spans="1:35">
      <c r="A160" s="42">
        <v>146</v>
      </c>
      <c r="B160" s="43">
        <v>43536.424305555556</v>
      </c>
      <c r="C160" s="43">
        <v>43558.375</v>
      </c>
      <c r="D160" s="28">
        <v>2.83</v>
      </c>
      <c r="E160" s="19">
        <f>1295/824</f>
        <v>1.5716019417475728</v>
      </c>
      <c r="F160" s="2" t="s">
        <v>66</v>
      </c>
      <c r="G160" s="16" t="s">
        <v>20</v>
      </c>
      <c r="H160" s="23">
        <v>4.5730311361774995E-2</v>
      </c>
      <c r="I160" s="27">
        <v>70.73</v>
      </c>
      <c r="J160" s="27">
        <v>119.39</v>
      </c>
      <c r="K160" s="27">
        <v>155.66</v>
      </c>
      <c r="L160" s="27">
        <v>1.83</v>
      </c>
      <c r="M160" s="27">
        <v>10.68</v>
      </c>
      <c r="N160" s="17">
        <f t="shared" si="124"/>
        <v>43.770946236616808</v>
      </c>
      <c r="O160" s="17">
        <f t="shared" si="125"/>
        <v>73.883971033361803</v>
      </c>
      <c r="P160" s="15">
        <f t="shared" si="126"/>
        <v>117.65491726997861</v>
      </c>
      <c r="Q160" s="17">
        <f t="shared" si="127"/>
        <v>96.32949938062734</v>
      </c>
      <c r="R160" s="17">
        <f t="shared" si="128"/>
        <v>140.10044561724413</v>
      </c>
      <c r="S160" s="17">
        <f t="shared" si="129"/>
        <v>1.1324873690514456</v>
      </c>
      <c r="T160" s="17">
        <f t="shared" si="116"/>
        <v>6.60927054725106</v>
      </c>
      <c r="U160" s="17">
        <f t="shared" si="130"/>
        <v>1.9940574703638223</v>
      </c>
      <c r="V160" s="17">
        <f t="shared" si="131"/>
        <v>3.3659058587125226</v>
      </c>
      <c r="W160" s="17">
        <f t="shared" si="132"/>
        <v>5.3599633290763453</v>
      </c>
      <c r="X160" s="17">
        <f t="shared" si="133"/>
        <v>4.3884488312856291</v>
      </c>
      <c r="Y160" s="17">
        <f t="shared" si="134"/>
        <v>6.3825063016494514</v>
      </c>
      <c r="Z160" s="17">
        <f t="shared" si="135"/>
        <v>5.1592325332472704E-2</v>
      </c>
      <c r="AA160" s="17">
        <f t="shared" si="136"/>
        <v>0.30109619374361124</v>
      </c>
      <c r="AB160" s="44" t="s">
        <v>172</v>
      </c>
      <c r="AC160" s="44"/>
      <c r="AD160" s="44"/>
      <c r="AE160" s="44"/>
      <c r="AF160" s="44"/>
      <c r="AG160" s="44"/>
      <c r="AH160" s="44"/>
      <c r="AI160" s="44"/>
    </row>
    <row r="161" spans="1:35">
      <c r="A161" s="42">
        <v>147</v>
      </c>
      <c r="B161" s="43">
        <v>43558.375</v>
      </c>
      <c r="C161" s="43">
        <v>43580.427083333336</v>
      </c>
      <c r="D161" s="28">
        <v>0.72699999999999998</v>
      </c>
      <c r="E161" s="19">
        <f>162/824</f>
        <v>0.19660194174757281</v>
      </c>
      <c r="F161" s="2" t="s">
        <v>66</v>
      </c>
      <c r="G161" s="16" t="s">
        <v>20</v>
      </c>
      <c r="H161" s="23">
        <v>4.8788999999999999E-2</v>
      </c>
      <c r="I161" s="27">
        <v>161.38</v>
      </c>
      <c r="J161" s="27">
        <v>282.88</v>
      </c>
      <c r="K161" s="27">
        <v>845.79</v>
      </c>
      <c r="L161" s="27">
        <v>17.649999999999999</v>
      </c>
      <c r="M161" s="27">
        <v>65.33</v>
      </c>
      <c r="N161" s="17">
        <f t="shared" si="124"/>
        <v>24.047072085921005</v>
      </c>
      <c r="O161" s="17">
        <f t="shared" si="125"/>
        <v>42.151665334399148</v>
      </c>
      <c r="P161" s="15">
        <f t="shared" si="126"/>
        <v>66.198737420320157</v>
      </c>
      <c r="Q161" s="17">
        <f t="shared" si="127"/>
        <v>126.03032035909733</v>
      </c>
      <c r="R161" s="17">
        <f t="shared" si="128"/>
        <v>150.07739244501835</v>
      </c>
      <c r="S161" s="17">
        <f t="shared" si="129"/>
        <v>2.6300088134620507</v>
      </c>
      <c r="T161" s="17">
        <f t="shared" si="116"/>
        <v>9.7347578347578345</v>
      </c>
      <c r="U161" s="17">
        <f t="shared" si="130"/>
        <v>1.0904671328522262</v>
      </c>
      <c r="V161" s="17">
        <f t="shared" si="131"/>
        <v>1.911459552244626</v>
      </c>
      <c r="W161" s="17">
        <f t="shared" si="132"/>
        <v>3.0019266850968522</v>
      </c>
      <c r="X161" s="17">
        <f t="shared" si="133"/>
        <v>5.7151208098592408</v>
      </c>
      <c r="Y161" s="17">
        <f t="shared" si="134"/>
        <v>6.8055879427114672</v>
      </c>
      <c r="Z161" s="17">
        <f t="shared" si="135"/>
        <v>0.11926350783766136</v>
      </c>
      <c r="AA161" s="17">
        <f t="shared" si="136"/>
        <v>0.4414439074807035</v>
      </c>
      <c r="AB161" s="44"/>
      <c r="AC161" s="44"/>
      <c r="AD161" s="44"/>
      <c r="AE161" s="44"/>
      <c r="AF161" s="44"/>
      <c r="AG161" s="44"/>
      <c r="AH161" s="44"/>
      <c r="AI161" s="44"/>
    </row>
    <row r="162" spans="1:35">
      <c r="A162" s="42">
        <v>148</v>
      </c>
      <c r="B162" s="43">
        <v>43580.427083333336</v>
      </c>
      <c r="C162" s="43">
        <v>43593.399305555555</v>
      </c>
      <c r="D162" s="28">
        <v>1.6</v>
      </c>
      <c r="E162" s="19">
        <f>24/824</f>
        <v>2.9126213592233011E-2</v>
      </c>
      <c r="F162" s="2" t="s">
        <v>66</v>
      </c>
      <c r="G162" s="16" t="s">
        <v>20</v>
      </c>
      <c r="H162" s="23">
        <v>4.5730311361774995E-2</v>
      </c>
      <c r="I162" s="27">
        <v>58.61</v>
      </c>
      <c r="J162" s="27">
        <v>131.19999999999999</v>
      </c>
      <c r="K162" s="27">
        <v>228.29</v>
      </c>
      <c r="L162" s="27">
        <v>12.36</v>
      </c>
      <c r="M162" s="27">
        <v>20.68</v>
      </c>
      <c r="N162" s="17">
        <f t="shared" si="124"/>
        <v>20.506311286212977</v>
      </c>
      <c r="O162" s="17">
        <f t="shared" si="125"/>
        <v>45.903907878367889</v>
      </c>
      <c r="P162" s="15">
        <f t="shared" si="126"/>
        <v>66.410219164580866</v>
      </c>
      <c r="Q162" s="17">
        <f t="shared" si="127"/>
        <v>79.873499463053406</v>
      </c>
      <c r="R162" s="17">
        <f t="shared" si="128"/>
        <v>100.37981074926638</v>
      </c>
      <c r="S162" s="17">
        <f t="shared" si="129"/>
        <v>4.3244840043950239</v>
      </c>
      <c r="T162" s="17">
        <f t="shared" si="116"/>
        <v>7.2354635283890856</v>
      </c>
      <c r="U162" s="17">
        <f t="shared" si="130"/>
        <v>1.5807863090018226</v>
      </c>
      <c r="V162" s="17">
        <f t="shared" si="131"/>
        <v>3.5386310141791348</v>
      </c>
      <c r="W162" s="17">
        <f t="shared" si="132"/>
        <v>5.1194173231809579</v>
      </c>
      <c r="X162" s="17">
        <f t="shared" si="133"/>
        <v>6.1572719072176429</v>
      </c>
      <c r="Y162" s="17">
        <f t="shared" si="134"/>
        <v>7.738058216219466</v>
      </c>
      <c r="Z162" s="17">
        <f t="shared" si="135"/>
        <v>0.33336493395772948</v>
      </c>
      <c r="AA162" s="17">
        <f t="shared" si="136"/>
        <v>0.55776592510079659</v>
      </c>
      <c r="AB162" s="44" t="s">
        <v>186</v>
      </c>
      <c r="AC162" s="44"/>
      <c r="AD162" s="44"/>
      <c r="AE162" s="44"/>
      <c r="AF162" s="44"/>
      <c r="AG162" s="44"/>
      <c r="AH162" s="44"/>
      <c r="AI162" s="44"/>
    </row>
    <row r="163" spans="1:35">
      <c r="A163" s="42">
        <v>149</v>
      </c>
      <c r="B163" s="43">
        <v>43593.399305555555</v>
      </c>
      <c r="C163" s="43">
        <v>43619.47152777778</v>
      </c>
      <c r="D163" s="28">
        <v>0.85</v>
      </c>
      <c r="E163" s="19">
        <f>590/824</f>
        <v>0.71601941747572817</v>
      </c>
      <c r="F163" s="2" t="s">
        <v>66</v>
      </c>
      <c r="G163" s="16" t="s">
        <v>20</v>
      </c>
      <c r="H163" s="23">
        <v>4.8788999999999999E-2</v>
      </c>
      <c r="I163" s="27">
        <v>297.20999999999998</v>
      </c>
      <c r="J163" s="27">
        <v>493.95</v>
      </c>
      <c r="K163" s="27">
        <v>679.8</v>
      </c>
      <c r="L163" s="27">
        <v>11.25</v>
      </c>
      <c r="M163" s="27">
        <v>39.57</v>
      </c>
      <c r="N163" s="17">
        <f t="shared" si="124"/>
        <v>51.779806923691815</v>
      </c>
      <c r="O163" s="17">
        <f t="shared" si="125"/>
        <v>86.055770768000983</v>
      </c>
      <c r="P163" s="15">
        <f t="shared" si="126"/>
        <v>137.83557769169281</v>
      </c>
      <c r="Q163" s="17">
        <f t="shared" si="127"/>
        <v>118.43448318268462</v>
      </c>
      <c r="R163" s="17">
        <f t="shared" si="128"/>
        <v>170.21429010637644</v>
      </c>
      <c r="S163" s="17">
        <f t="shared" si="129"/>
        <v>1.9599704851503414</v>
      </c>
      <c r="T163" s="17">
        <f t="shared" si="116"/>
        <v>6.8938695197688009</v>
      </c>
      <c r="U163" s="17">
        <f t="shared" si="130"/>
        <v>1.9860143290568084</v>
      </c>
      <c r="V163" s="17">
        <f t="shared" si="131"/>
        <v>3.3006688127506156</v>
      </c>
      <c r="W163" s="17">
        <f t="shared" si="132"/>
        <v>5.2866831418074245</v>
      </c>
      <c r="X163" s="17">
        <f t="shared" si="133"/>
        <v>4.5425542239252321</v>
      </c>
      <c r="Y163" s="17">
        <f t="shared" si="134"/>
        <v>6.5285685529820414</v>
      </c>
      <c r="Z163" s="17">
        <f t="shared" si="135"/>
        <v>7.5174661693378747E-2</v>
      </c>
      <c r="AA163" s="17">
        <f t="shared" si="136"/>
        <v>0.26441434339617753</v>
      </c>
      <c r="AB163" s="44" t="s">
        <v>187</v>
      </c>
      <c r="AC163" s="44"/>
      <c r="AD163" s="44"/>
      <c r="AE163" s="44"/>
      <c r="AF163" s="44"/>
      <c r="AG163" s="44"/>
      <c r="AH163" s="44"/>
      <c r="AI163" s="44"/>
    </row>
    <row r="164" spans="1:35">
      <c r="A164" s="42">
        <v>150</v>
      </c>
      <c r="B164" s="43">
        <v>43619.47152777778</v>
      </c>
      <c r="C164" s="43">
        <v>43628.399305555555</v>
      </c>
      <c r="D164" s="28">
        <v>1.367</v>
      </c>
      <c r="E164" s="19">
        <v>0</v>
      </c>
      <c r="F164" s="2" t="s">
        <v>19</v>
      </c>
      <c r="G164" s="16" t="s">
        <v>20</v>
      </c>
      <c r="H164" s="23">
        <v>4.5730311361774995E-2</v>
      </c>
      <c r="I164" s="27">
        <v>45.7</v>
      </c>
      <c r="J164" s="27">
        <v>26.99</v>
      </c>
      <c r="K164" s="27">
        <v>317.44</v>
      </c>
      <c r="L164" s="27">
        <v>0.92</v>
      </c>
      <c r="M164" s="27">
        <v>11.84</v>
      </c>
      <c r="N164" s="17">
        <f t="shared" si="124"/>
        <v>13.660939131986524</v>
      </c>
      <c r="O164" s="17">
        <f t="shared" si="125"/>
        <v>8.0680251022388667</v>
      </c>
      <c r="P164" s="15">
        <f t="shared" si="126"/>
        <v>21.728964234225391</v>
      </c>
      <c r="Q164" s="17">
        <f t="shared" si="127"/>
        <v>94.891214837151026</v>
      </c>
      <c r="R164" s="17">
        <f t="shared" si="128"/>
        <v>108.55215396913755</v>
      </c>
      <c r="S164" s="17">
        <f t="shared" si="129"/>
        <v>0.27501234138791253</v>
      </c>
      <c r="T164" s="17">
        <f t="shared" si="116"/>
        <v>3.5392892630792216</v>
      </c>
      <c r="U164" s="17">
        <f t="shared" si="130"/>
        <v>1.5301611971115661</v>
      </c>
      <c r="V164" s="17">
        <f t="shared" si="131"/>
        <v>0.90369914026348275</v>
      </c>
      <c r="W164" s="17">
        <f t="shared" si="132"/>
        <v>2.4338603373750489</v>
      </c>
      <c r="X164" s="17">
        <f t="shared" si="133"/>
        <v>10.628760840505374</v>
      </c>
      <c r="Y164" s="17">
        <f t="shared" si="134"/>
        <v>12.158922037616939</v>
      </c>
      <c r="Z164" s="17">
        <f t="shared" si="135"/>
        <v>3.0804120379488861E-2</v>
      </c>
      <c r="AA164" s="17">
        <f t="shared" si="136"/>
        <v>0.39643563618820443</v>
      </c>
      <c r="AB164" s="44" t="s">
        <v>188</v>
      </c>
      <c r="AC164" s="44"/>
      <c r="AD164" s="44"/>
      <c r="AE164" s="44"/>
      <c r="AF164" s="44"/>
      <c r="AG164" s="44"/>
      <c r="AH164" s="44"/>
      <c r="AI164" s="44"/>
    </row>
    <row r="165" spans="1:35" s="32" customFormat="1">
      <c r="A165" s="38">
        <v>151</v>
      </c>
      <c r="B165" s="45">
        <v>43628.399305555555</v>
      </c>
      <c r="C165" s="45">
        <v>43655.408333333333</v>
      </c>
      <c r="D165" s="29">
        <v>0.5</v>
      </c>
      <c r="E165" s="14">
        <f>107/824</f>
        <v>0.12985436893203883</v>
      </c>
      <c r="F165" s="38" t="s">
        <v>66</v>
      </c>
      <c r="G165" s="13" t="s">
        <v>20</v>
      </c>
      <c r="H165" s="25">
        <v>4.8788999999999999E-2</v>
      </c>
      <c r="I165" s="30">
        <v>341.56</v>
      </c>
      <c r="J165" s="30">
        <v>7.86</v>
      </c>
      <c r="K165" s="30" t="s">
        <v>21</v>
      </c>
      <c r="L165" s="30">
        <v>22.6</v>
      </c>
      <c r="M165" s="30">
        <v>118.54</v>
      </c>
      <c r="N165" s="14" t="s">
        <v>111</v>
      </c>
      <c r="O165" s="14" t="s">
        <v>111</v>
      </c>
      <c r="P165" s="14" t="s">
        <v>111</v>
      </c>
      <c r="Q165" s="14" t="s">
        <v>111</v>
      </c>
      <c r="R165" s="14" t="s">
        <v>111</v>
      </c>
      <c r="S165" s="14" t="s">
        <v>111</v>
      </c>
      <c r="T165" s="14" t="s">
        <v>111</v>
      </c>
      <c r="U165" s="14" t="s">
        <v>111</v>
      </c>
      <c r="V165" s="14" t="s">
        <v>111</v>
      </c>
      <c r="W165" s="14" t="s">
        <v>111</v>
      </c>
      <c r="X165" s="14" t="s">
        <v>111</v>
      </c>
      <c r="Y165" s="14" t="s">
        <v>111</v>
      </c>
      <c r="Z165" s="14" t="s">
        <v>111</v>
      </c>
      <c r="AA165" s="14" t="s">
        <v>111</v>
      </c>
    </row>
    <row r="166" spans="1:35">
      <c r="B166" s="24" t="s">
        <v>181</v>
      </c>
      <c r="N166" s="46"/>
    </row>
    <row r="169" spans="1:35" ht="17.399999999999999">
      <c r="B169" s="34" t="s">
        <v>178</v>
      </c>
    </row>
    <row r="170" spans="1:35" ht="17.399999999999999">
      <c r="B170" s="34"/>
    </row>
    <row r="171" spans="1:35">
      <c r="E171" s="1"/>
      <c r="F171" s="31" t="s">
        <v>28</v>
      </c>
      <c r="G171" s="1"/>
      <c r="H171" s="1"/>
      <c r="I171" s="1"/>
    </row>
    <row r="172" spans="1:35">
      <c r="A172" s="60"/>
      <c r="B172" s="61" t="s">
        <v>37</v>
      </c>
      <c r="C172" s="62" t="s">
        <v>37</v>
      </c>
      <c r="D172" s="62" t="s">
        <v>36</v>
      </c>
      <c r="E172" s="63" t="s">
        <v>35</v>
      </c>
      <c r="F172" s="64" t="s">
        <v>7</v>
      </c>
      <c r="G172" s="64" t="s">
        <v>8</v>
      </c>
      <c r="H172" s="64" t="s">
        <v>9</v>
      </c>
      <c r="I172" s="65" t="s">
        <v>10</v>
      </c>
      <c r="J172" s="65" t="s">
        <v>11</v>
      </c>
      <c r="K172" s="83"/>
      <c r="L172" s="84"/>
      <c r="M172" s="84"/>
      <c r="N172" s="84"/>
      <c r="O172" s="84"/>
      <c r="P172" s="84"/>
      <c r="Q172" s="84"/>
      <c r="R172" s="84"/>
      <c r="S172" s="85"/>
    </row>
    <row r="173" spans="1:35" ht="13.2">
      <c r="A173" s="66"/>
      <c r="B173" s="67" t="s">
        <v>29</v>
      </c>
      <c r="C173" s="68" t="s">
        <v>17</v>
      </c>
      <c r="D173" s="68" t="s">
        <v>30</v>
      </c>
      <c r="E173" s="69" t="s">
        <v>15</v>
      </c>
      <c r="F173" s="70" t="s">
        <v>49</v>
      </c>
      <c r="G173" s="70" t="s">
        <v>49</v>
      </c>
      <c r="H173" s="70" t="s">
        <v>49</v>
      </c>
      <c r="I173" s="70" t="s">
        <v>49</v>
      </c>
      <c r="J173" s="70" t="s">
        <v>49</v>
      </c>
      <c r="K173" s="86" t="s">
        <v>18</v>
      </c>
      <c r="L173" s="32"/>
      <c r="M173" s="32"/>
      <c r="N173" s="32"/>
      <c r="O173" s="32"/>
      <c r="P173" s="32"/>
      <c r="Q173" s="32"/>
      <c r="R173" s="32"/>
      <c r="S173" s="87"/>
    </row>
    <row r="174" spans="1:35">
      <c r="A174" s="60">
        <v>1</v>
      </c>
      <c r="B174" s="71" t="s">
        <v>31</v>
      </c>
      <c r="C174" s="72" t="s">
        <v>31</v>
      </c>
      <c r="D174" s="73">
        <v>41508.65625</v>
      </c>
      <c r="E174" s="72" t="s">
        <v>32</v>
      </c>
      <c r="F174" s="74">
        <v>1.52</v>
      </c>
      <c r="G174" s="74">
        <v>0.89</v>
      </c>
      <c r="H174" s="74">
        <v>28.73</v>
      </c>
      <c r="I174" s="74">
        <v>0.45</v>
      </c>
      <c r="J174" s="74">
        <v>0.92</v>
      </c>
      <c r="K174" s="88" t="s">
        <v>38</v>
      </c>
      <c r="L174" s="84"/>
      <c r="M174" s="84"/>
      <c r="N174" s="84"/>
      <c r="O174" s="84"/>
      <c r="P174" s="84"/>
      <c r="Q174" s="84"/>
      <c r="R174" s="84"/>
      <c r="S174" s="85"/>
    </row>
    <row r="175" spans="1:35">
      <c r="A175" s="75">
        <f>A174+1</f>
        <v>2</v>
      </c>
      <c r="B175" s="76" t="s">
        <v>39</v>
      </c>
      <c r="C175" s="77" t="s">
        <v>33</v>
      </c>
      <c r="D175" s="78">
        <v>41508.625</v>
      </c>
      <c r="E175" s="77">
        <v>4</v>
      </c>
      <c r="F175" s="79">
        <v>2.29</v>
      </c>
      <c r="G175" s="79">
        <v>4.13</v>
      </c>
      <c r="H175" s="79">
        <v>0</v>
      </c>
      <c r="I175" s="79">
        <v>1.1299999999999999</v>
      </c>
      <c r="J175" s="79">
        <v>0.92</v>
      </c>
      <c r="K175" s="89" t="s">
        <v>40</v>
      </c>
      <c r="L175" s="44"/>
      <c r="M175" s="44"/>
      <c r="N175" s="44"/>
      <c r="O175" s="44"/>
      <c r="P175" s="44"/>
      <c r="Q175" s="44"/>
      <c r="R175" s="44"/>
      <c r="S175" s="90"/>
    </row>
    <row r="176" spans="1:35">
      <c r="A176" s="75">
        <f t="shared" ref="A176:A186" si="137">A175+1</f>
        <v>3</v>
      </c>
      <c r="B176" s="75" t="s">
        <v>31</v>
      </c>
      <c r="C176" s="80" t="s">
        <v>31</v>
      </c>
      <c r="D176" s="81">
        <v>41547.645833333336</v>
      </c>
      <c r="E176" s="80"/>
      <c r="F176" s="79">
        <v>1.18</v>
      </c>
      <c r="G176" s="79">
        <v>3.81</v>
      </c>
      <c r="H176" s="79">
        <v>8.08</v>
      </c>
      <c r="I176" s="79">
        <v>0.23</v>
      </c>
      <c r="J176" s="79">
        <v>2.2000000000000002</v>
      </c>
      <c r="K176" s="89" t="s">
        <v>38</v>
      </c>
      <c r="L176" s="44"/>
      <c r="M176" s="44"/>
      <c r="N176" s="44"/>
      <c r="O176" s="44"/>
      <c r="P176" s="44"/>
      <c r="Q176" s="44"/>
      <c r="R176" s="44"/>
      <c r="S176" s="90"/>
    </row>
    <row r="177" spans="1:19">
      <c r="A177" s="75">
        <f t="shared" si="137"/>
        <v>4</v>
      </c>
      <c r="B177" s="76" t="s">
        <v>92</v>
      </c>
      <c r="C177" s="77" t="s">
        <v>93</v>
      </c>
      <c r="D177" s="78">
        <v>41548.559027777781</v>
      </c>
      <c r="E177" s="77">
        <v>4</v>
      </c>
      <c r="F177" s="79">
        <v>1.85</v>
      </c>
      <c r="G177" s="79">
        <v>3.37</v>
      </c>
      <c r="H177" s="79">
        <v>1.78</v>
      </c>
      <c r="I177" s="79">
        <v>0.92</v>
      </c>
      <c r="J177" s="79">
        <v>2.2000000000000002</v>
      </c>
      <c r="K177" s="89" t="s">
        <v>94</v>
      </c>
      <c r="L177" s="44"/>
      <c r="M177" s="44"/>
      <c r="N177" s="44"/>
      <c r="O177" s="44"/>
      <c r="P177" s="44"/>
      <c r="Q177" s="44"/>
      <c r="R177" s="44"/>
      <c r="S177" s="90"/>
    </row>
    <row r="178" spans="1:19">
      <c r="A178" s="75">
        <f t="shared" si="137"/>
        <v>5</v>
      </c>
      <c r="B178" s="76" t="s">
        <v>95</v>
      </c>
      <c r="C178" s="77" t="s">
        <v>93</v>
      </c>
      <c r="D178" s="78">
        <v>41548.590277777781</v>
      </c>
      <c r="E178" s="77">
        <v>4</v>
      </c>
      <c r="F178" s="79">
        <v>2.19</v>
      </c>
      <c r="G178" s="79">
        <v>4.04</v>
      </c>
      <c r="H178" s="79">
        <v>7.18</v>
      </c>
      <c r="I178" s="79">
        <v>0.69</v>
      </c>
      <c r="J178" s="79">
        <v>2.52</v>
      </c>
      <c r="K178" s="89" t="s">
        <v>94</v>
      </c>
      <c r="L178" s="44"/>
      <c r="M178" s="44"/>
      <c r="N178" s="44"/>
      <c r="O178" s="44"/>
      <c r="P178" s="44"/>
      <c r="Q178" s="44"/>
      <c r="R178" s="44"/>
      <c r="S178" s="90"/>
    </row>
    <row r="179" spans="1:19">
      <c r="A179" s="75">
        <f t="shared" si="137"/>
        <v>6</v>
      </c>
      <c r="B179" s="76" t="s">
        <v>96</v>
      </c>
      <c r="C179" s="77" t="s">
        <v>93</v>
      </c>
      <c r="D179" s="78">
        <v>41548.614583333336</v>
      </c>
      <c r="E179" s="77">
        <v>4</v>
      </c>
      <c r="F179" s="79">
        <v>1.85</v>
      </c>
      <c r="G179" s="79">
        <v>3.55</v>
      </c>
      <c r="H179" s="79">
        <v>8.08</v>
      </c>
      <c r="I179" s="79">
        <v>0.46</v>
      </c>
      <c r="J179" s="79" t="s">
        <v>97</v>
      </c>
      <c r="K179" s="89" t="s">
        <v>94</v>
      </c>
      <c r="L179" s="44"/>
      <c r="M179" s="44"/>
      <c r="N179" s="44"/>
      <c r="O179" s="44"/>
      <c r="P179" s="44"/>
      <c r="Q179" s="44"/>
      <c r="R179" s="44"/>
      <c r="S179" s="90"/>
    </row>
    <row r="180" spans="1:19">
      <c r="A180" s="75">
        <f t="shared" si="137"/>
        <v>7</v>
      </c>
      <c r="B180" s="76" t="s">
        <v>98</v>
      </c>
      <c r="C180" s="77" t="s">
        <v>98</v>
      </c>
      <c r="D180" s="78">
        <v>41597.631944444445</v>
      </c>
      <c r="E180" s="77"/>
      <c r="F180" s="79">
        <v>10.77</v>
      </c>
      <c r="G180" s="79">
        <v>12.06</v>
      </c>
      <c r="H180" s="79" t="s">
        <v>97</v>
      </c>
      <c r="I180" s="79">
        <v>10.16</v>
      </c>
      <c r="J180" s="79">
        <v>14.14</v>
      </c>
      <c r="K180" s="89" t="s">
        <v>99</v>
      </c>
      <c r="L180" s="44"/>
      <c r="M180" s="44"/>
      <c r="N180" s="44"/>
      <c r="O180" s="44"/>
      <c r="P180" s="44"/>
      <c r="Q180" s="44"/>
      <c r="R180" s="44"/>
      <c r="S180" s="90"/>
    </row>
    <row r="181" spans="1:19">
      <c r="A181" s="75">
        <f t="shared" si="137"/>
        <v>8</v>
      </c>
      <c r="B181" s="76" t="s">
        <v>100</v>
      </c>
      <c r="C181" s="77" t="s">
        <v>101</v>
      </c>
      <c r="D181" s="78">
        <v>41598.472222222219</v>
      </c>
      <c r="E181" s="77">
        <v>4</v>
      </c>
      <c r="F181" s="79">
        <v>10.09</v>
      </c>
      <c r="G181" s="79">
        <v>10.69</v>
      </c>
      <c r="H181" s="79" t="s">
        <v>97</v>
      </c>
      <c r="I181" s="79">
        <v>9.9499999999999993</v>
      </c>
      <c r="J181" s="79">
        <v>12.53</v>
      </c>
      <c r="K181" s="89" t="s">
        <v>102</v>
      </c>
      <c r="L181" s="44"/>
      <c r="M181" s="44"/>
      <c r="N181" s="44"/>
      <c r="O181" s="44"/>
      <c r="P181" s="44"/>
      <c r="Q181" s="44"/>
      <c r="R181" s="44"/>
      <c r="S181" s="90"/>
    </row>
    <row r="182" spans="1:19">
      <c r="A182" s="75">
        <f t="shared" si="137"/>
        <v>9</v>
      </c>
      <c r="B182" s="76" t="s">
        <v>103</v>
      </c>
      <c r="C182" s="77" t="s">
        <v>101</v>
      </c>
      <c r="D182" s="78">
        <v>41598.482638888891</v>
      </c>
      <c r="E182" s="77">
        <v>4</v>
      </c>
      <c r="F182" s="79">
        <v>10.28</v>
      </c>
      <c r="G182" s="79">
        <v>11.12</v>
      </c>
      <c r="H182" s="79" t="s">
        <v>97</v>
      </c>
      <c r="I182" s="79">
        <v>10.4</v>
      </c>
      <c r="J182" s="79">
        <v>12.85</v>
      </c>
      <c r="K182" s="89" t="s">
        <v>102</v>
      </c>
      <c r="L182" s="44"/>
      <c r="M182" s="44"/>
      <c r="N182" s="44"/>
      <c r="O182" s="44"/>
      <c r="P182" s="44"/>
      <c r="Q182" s="44"/>
      <c r="R182" s="44"/>
      <c r="S182" s="90"/>
    </row>
    <row r="183" spans="1:19">
      <c r="A183" s="75">
        <f t="shared" si="137"/>
        <v>10</v>
      </c>
      <c r="B183" s="76" t="s">
        <v>92</v>
      </c>
      <c r="C183" s="77" t="s">
        <v>101</v>
      </c>
      <c r="D183" s="78">
        <v>41598.493055555555</v>
      </c>
      <c r="E183" s="77">
        <v>4</v>
      </c>
      <c r="F183" s="79">
        <v>10.28</v>
      </c>
      <c r="G183" s="79">
        <v>12.19</v>
      </c>
      <c r="H183" s="79" t="s">
        <v>97</v>
      </c>
      <c r="I183" s="79">
        <v>7.91</v>
      </c>
      <c r="J183" s="79">
        <v>11.57</v>
      </c>
      <c r="K183" s="89" t="s">
        <v>104</v>
      </c>
      <c r="L183" s="44"/>
      <c r="M183" s="44"/>
      <c r="N183" s="44"/>
      <c r="O183" s="44"/>
      <c r="P183" s="44"/>
      <c r="Q183" s="44"/>
      <c r="R183" s="44"/>
      <c r="S183" s="90"/>
    </row>
    <row r="184" spans="1:19">
      <c r="A184" s="75">
        <f t="shared" si="137"/>
        <v>11</v>
      </c>
      <c r="B184" s="76" t="s">
        <v>95</v>
      </c>
      <c r="C184" s="77" t="s">
        <v>101</v>
      </c>
      <c r="D184" s="78">
        <v>41598.524305555555</v>
      </c>
      <c r="E184" s="77">
        <v>4</v>
      </c>
      <c r="F184" s="79">
        <v>10.68</v>
      </c>
      <c r="G184" s="79">
        <v>11.76</v>
      </c>
      <c r="H184" s="79" t="s">
        <v>97</v>
      </c>
      <c r="I184" s="79">
        <v>8.3699999999999992</v>
      </c>
      <c r="J184" s="79">
        <v>12.21</v>
      </c>
      <c r="K184" s="89" t="s">
        <v>104</v>
      </c>
      <c r="L184" s="44"/>
      <c r="M184" s="44"/>
      <c r="N184" s="44"/>
      <c r="O184" s="44"/>
      <c r="P184" s="44"/>
      <c r="Q184" s="44"/>
      <c r="R184" s="44"/>
      <c r="S184" s="90"/>
    </row>
    <row r="185" spans="1:19">
      <c r="A185" s="75">
        <f t="shared" si="137"/>
        <v>12</v>
      </c>
      <c r="B185" s="76" t="s">
        <v>31</v>
      </c>
      <c r="C185" s="77" t="s">
        <v>31</v>
      </c>
      <c r="D185" s="78">
        <v>41815.729166666664</v>
      </c>
      <c r="E185" s="77"/>
      <c r="F185" s="79">
        <v>0.9</v>
      </c>
      <c r="G185" s="79">
        <v>0.04</v>
      </c>
      <c r="H185" s="79">
        <v>7.18</v>
      </c>
      <c r="I185" s="79">
        <v>0.22</v>
      </c>
      <c r="J185" s="79">
        <v>4.04</v>
      </c>
      <c r="K185" s="89" t="s">
        <v>38</v>
      </c>
      <c r="L185" s="44"/>
      <c r="M185" s="44"/>
      <c r="N185" s="44"/>
      <c r="O185" s="44"/>
      <c r="P185" s="44"/>
      <c r="Q185" s="44"/>
      <c r="R185" s="44"/>
      <c r="S185" s="90"/>
    </row>
    <row r="186" spans="1:19">
      <c r="A186" s="75">
        <f t="shared" si="137"/>
        <v>13</v>
      </c>
      <c r="B186" s="76" t="s">
        <v>34</v>
      </c>
      <c r="C186" s="77" t="s">
        <v>33</v>
      </c>
      <c r="D186" s="78">
        <v>41816.614583333336</v>
      </c>
      <c r="E186" s="77">
        <v>4</v>
      </c>
      <c r="F186" s="79">
        <v>1.81</v>
      </c>
      <c r="G186" s="79">
        <v>1.1399999999999999</v>
      </c>
      <c r="H186" s="79">
        <v>22.14</v>
      </c>
      <c r="I186" s="79">
        <v>0.67</v>
      </c>
      <c r="J186" s="79">
        <v>3.42</v>
      </c>
      <c r="K186" s="89" t="s">
        <v>40</v>
      </c>
      <c r="L186" s="44"/>
      <c r="M186" s="44"/>
      <c r="N186" s="44"/>
      <c r="O186" s="44"/>
      <c r="P186" s="44"/>
      <c r="Q186" s="44"/>
      <c r="R186" s="44"/>
      <c r="S186" s="90"/>
    </row>
    <row r="187" spans="1:19">
      <c r="A187" s="75">
        <v>14</v>
      </c>
      <c r="B187" s="76" t="s">
        <v>31</v>
      </c>
      <c r="C187" s="77" t="s">
        <v>31</v>
      </c>
      <c r="D187" s="78">
        <v>42047.659722222219</v>
      </c>
      <c r="E187" s="77" t="s">
        <v>32</v>
      </c>
      <c r="F187" s="79">
        <v>0.97</v>
      </c>
      <c r="G187" s="79">
        <v>3.91</v>
      </c>
      <c r="H187" s="79">
        <v>12.44</v>
      </c>
      <c r="I187" s="79">
        <v>0</v>
      </c>
      <c r="J187" s="79">
        <v>0.63</v>
      </c>
      <c r="K187" s="89" t="s">
        <v>38</v>
      </c>
      <c r="L187" s="44"/>
      <c r="M187" s="44"/>
      <c r="N187" s="44"/>
      <c r="O187" s="44"/>
      <c r="P187" s="44"/>
      <c r="Q187" s="44"/>
      <c r="R187" s="44"/>
      <c r="S187" s="90"/>
    </row>
    <row r="188" spans="1:19">
      <c r="A188" s="75">
        <f>A187+1</f>
        <v>15</v>
      </c>
      <c r="B188" s="76" t="s">
        <v>39</v>
      </c>
      <c r="C188" s="77" t="s">
        <v>33</v>
      </c>
      <c r="D188" s="78">
        <v>42048.694444444445</v>
      </c>
      <c r="E188" s="77">
        <v>4</v>
      </c>
      <c r="F188" s="79">
        <v>1.36</v>
      </c>
      <c r="G188" s="79">
        <v>5.22</v>
      </c>
      <c r="H188" s="79">
        <v>11.32</v>
      </c>
      <c r="I188" s="79">
        <v>0</v>
      </c>
      <c r="J188" s="79">
        <v>1.26</v>
      </c>
      <c r="K188" s="89" t="s">
        <v>40</v>
      </c>
      <c r="L188" s="44"/>
      <c r="M188" s="44"/>
      <c r="N188" s="44"/>
      <c r="O188" s="44"/>
      <c r="P188" s="44"/>
      <c r="Q188" s="44"/>
      <c r="R188" s="44"/>
      <c r="S188" s="90"/>
    </row>
    <row r="189" spans="1:19">
      <c r="A189" s="75">
        <f t="shared" ref="A189" si="138">A188+1</f>
        <v>16</v>
      </c>
      <c r="B189" s="75" t="s">
        <v>31</v>
      </c>
      <c r="C189" s="80" t="s">
        <v>31</v>
      </c>
      <c r="D189" s="81">
        <v>42172.534722222219</v>
      </c>
      <c r="E189" s="82" t="s">
        <v>32</v>
      </c>
      <c r="F189" s="79">
        <v>1.3</v>
      </c>
      <c r="G189" s="79">
        <v>1.8</v>
      </c>
      <c r="H189" s="79">
        <v>29.93</v>
      </c>
      <c r="I189" s="79">
        <v>2.0499999999999998</v>
      </c>
      <c r="J189" s="79">
        <v>1.86</v>
      </c>
      <c r="K189" s="89" t="s">
        <v>38</v>
      </c>
      <c r="L189" s="44"/>
      <c r="M189" s="44"/>
      <c r="N189" s="44"/>
      <c r="O189" s="44"/>
      <c r="P189" s="44"/>
      <c r="Q189" s="44"/>
      <c r="R189" s="44"/>
      <c r="S189" s="90"/>
    </row>
    <row r="190" spans="1:19">
      <c r="A190" s="75">
        <v>17</v>
      </c>
      <c r="B190" s="76" t="s">
        <v>34</v>
      </c>
      <c r="C190" s="77" t="s">
        <v>33</v>
      </c>
      <c r="D190" s="78">
        <v>42173.666666666664</v>
      </c>
      <c r="E190" s="77">
        <v>4</v>
      </c>
      <c r="F190" s="79">
        <v>1.48</v>
      </c>
      <c r="G190" s="79">
        <v>2.89</v>
      </c>
      <c r="H190" s="79">
        <v>39.729999999999997</v>
      </c>
      <c r="I190" s="79">
        <v>0.91</v>
      </c>
      <c r="J190" s="79">
        <v>3.41</v>
      </c>
      <c r="K190" s="89" t="s">
        <v>40</v>
      </c>
      <c r="L190" s="44"/>
      <c r="M190" s="44"/>
      <c r="N190" s="44"/>
      <c r="O190" s="44"/>
      <c r="P190" s="44"/>
      <c r="Q190" s="44"/>
      <c r="R190" s="44"/>
      <c r="S190" s="90"/>
    </row>
    <row r="191" spans="1:19">
      <c r="A191" s="75">
        <v>18</v>
      </c>
      <c r="B191" s="76" t="s">
        <v>31</v>
      </c>
      <c r="C191" s="77" t="s">
        <v>31</v>
      </c>
      <c r="D191" s="78">
        <v>42255.604166666664</v>
      </c>
      <c r="E191" s="82" t="s">
        <v>32</v>
      </c>
      <c r="F191" s="79">
        <v>0.78</v>
      </c>
      <c r="G191" s="79">
        <v>1.25</v>
      </c>
      <c r="H191" s="79" t="s">
        <v>97</v>
      </c>
      <c r="I191" s="79">
        <v>1.37</v>
      </c>
      <c r="J191" s="79">
        <v>3.74</v>
      </c>
      <c r="K191" s="89" t="s">
        <v>38</v>
      </c>
      <c r="L191" s="44"/>
      <c r="M191" s="44"/>
      <c r="N191" s="44"/>
      <c r="O191" s="44"/>
      <c r="P191" s="44"/>
      <c r="Q191" s="44"/>
      <c r="R191" s="44"/>
      <c r="S191" s="90"/>
    </row>
    <row r="192" spans="1:19">
      <c r="A192" s="75">
        <v>19</v>
      </c>
      <c r="B192" s="76" t="s">
        <v>31</v>
      </c>
      <c r="C192" s="77" t="s">
        <v>31</v>
      </c>
      <c r="D192" s="78">
        <v>42485.475694444445</v>
      </c>
      <c r="E192" s="82" t="s">
        <v>32</v>
      </c>
      <c r="F192" s="79">
        <v>0.79</v>
      </c>
      <c r="G192" s="79">
        <v>0.9</v>
      </c>
      <c r="H192" s="79">
        <v>0</v>
      </c>
      <c r="I192" s="79">
        <v>0</v>
      </c>
      <c r="J192" s="79">
        <v>2.82</v>
      </c>
      <c r="K192" s="89" t="s">
        <v>38</v>
      </c>
      <c r="L192" s="44"/>
      <c r="M192" s="44"/>
      <c r="N192" s="44"/>
      <c r="O192" s="44"/>
      <c r="P192" s="44"/>
      <c r="Q192" s="44"/>
      <c r="R192" s="44"/>
      <c r="S192" s="90"/>
    </row>
    <row r="193" spans="1:28">
      <c r="A193" s="90">
        <v>20</v>
      </c>
      <c r="B193" s="76" t="s">
        <v>39</v>
      </c>
      <c r="C193" s="77" t="s">
        <v>33</v>
      </c>
      <c r="D193" s="78">
        <v>42486.583333333336</v>
      </c>
      <c r="E193" s="77">
        <v>4</v>
      </c>
      <c r="F193" s="79">
        <v>0.99</v>
      </c>
      <c r="G193" s="79">
        <v>1.54</v>
      </c>
      <c r="H193" s="79">
        <v>0</v>
      </c>
      <c r="I193" s="79">
        <v>0.23</v>
      </c>
      <c r="J193" s="79">
        <v>0.94</v>
      </c>
      <c r="K193" s="44" t="s">
        <v>40</v>
      </c>
      <c r="L193" s="44"/>
      <c r="M193" s="44"/>
      <c r="N193" s="44"/>
      <c r="O193" s="44"/>
      <c r="P193" s="44"/>
      <c r="Q193" s="44"/>
      <c r="R193" s="44"/>
      <c r="S193" s="90"/>
      <c r="T193" s="44"/>
      <c r="U193" s="44"/>
      <c r="V193" s="44"/>
      <c r="W193" s="44"/>
      <c r="X193" s="44"/>
      <c r="Y193" s="44"/>
      <c r="Z193" s="44"/>
      <c r="AA193" s="44"/>
      <c r="AB193" s="44"/>
    </row>
    <row r="194" spans="1:28">
      <c r="A194" s="90">
        <v>21</v>
      </c>
      <c r="B194" s="76" t="s">
        <v>31</v>
      </c>
      <c r="C194" s="77" t="s">
        <v>31</v>
      </c>
      <c r="D194" s="78">
        <v>42731.451388888891</v>
      </c>
      <c r="E194" s="77"/>
      <c r="F194" s="79">
        <v>1.41</v>
      </c>
      <c r="G194" s="79">
        <v>1.69</v>
      </c>
      <c r="H194" s="79">
        <v>34.76</v>
      </c>
      <c r="I194" s="79">
        <v>1.1499999999999999</v>
      </c>
      <c r="J194" s="79">
        <v>2.79</v>
      </c>
      <c r="K194" s="44" t="s">
        <v>38</v>
      </c>
      <c r="L194" s="44"/>
      <c r="M194" s="44"/>
      <c r="N194" s="44"/>
      <c r="O194" s="44"/>
      <c r="P194" s="44"/>
      <c r="Q194" s="44"/>
      <c r="R194" s="44"/>
      <c r="S194" s="90"/>
    </row>
    <row r="195" spans="1:28">
      <c r="A195" s="90">
        <v>22</v>
      </c>
      <c r="B195" s="76" t="s">
        <v>39</v>
      </c>
      <c r="C195" s="77" t="s">
        <v>33</v>
      </c>
      <c r="D195" s="78">
        <v>42732.607638888891</v>
      </c>
      <c r="E195" s="77">
        <v>4</v>
      </c>
      <c r="F195" s="79">
        <v>1.76</v>
      </c>
      <c r="G195" s="79">
        <v>2.14</v>
      </c>
      <c r="H195" s="79">
        <v>20.14</v>
      </c>
      <c r="I195" s="79">
        <v>1.1499999999999999</v>
      </c>
      <c r="J195" s="79">
        <v>2.48</v>
      </c>
      <c r="K195" s="44" t="s">
        <v>40</v>
      </c>
      <c r="L195" s="44"/>
      <c r="M195" s="44"/>
      <c r="N195" s="44"/>
      <c r="O195" s="44"/>
      <c r="P195" s="44"/>
      <c r="Q195" s="44"/>
      <c r="R195" s="44"/>
      <c r="S195" s="90"/>
    </row>
    <row r="196" spans="1:28">
      <c r="A196" s="90">
        <v>23</v>
      </c>
      <c r="B196" s="76" t="s">
        <v>31</v>
      </c>
      <c r="C196" s="77" t="s">
        <v>31</v>
      </c>
      <c r="D196" s="78">
        <v>42906.520833333336</v>
      </c>
      <c r="E196" s="77"/>
      <c r="F196" s="79">
        <v>0.97</v>
      </c>
      <c r="G196" s="79">
        <v>1.74</v>
      </c>
      <c r="H196" s="79">
        <v>0</v>
      </c>
      <c r="I196" s="79">
        <v>0</v>
      </c>
      <c r="J196" s="79">
        <v>2.48</v>
      </c>
      <c r="K196" s="44" t="s">
        <v>38</v>
      </c>
      <c r="L196" s="44"/>
      <c r="M196" s="44"/>
      <c r="N196" s="44"/>
      <c r="O196" s="44"/>
      <c r="P196" s="44"/>
      <c r="Q196" s="44"/>
      <c r="R196" s="44"/>
      <c r="S196" s="90"/>
    </row>
    <row r="197" spans="1:28">
      <c r="A197" s="90">
        <v>24</v>
      </c>
      <c r="B197" s="76" t="s">
        <v>39</v>
      </c>
      <c r="C197" s="77" t="s">
        <v>33</v>
      </c>
      <c r="D197" s="78">
        <v>42907.645833333336</v>
      </c>
      <c r="E197" s="77">
        <v>4</v>
      </c>
      <c r="F197" s="79">
        <v>1.3</v>
      </c>
      <c r="G197" s="79">
        <v>1.64</v>
      </c>
      <c r="H197" s="79">
        <v>0</v>
      </c>
      <c r="I197" s="79">
        <v>0.23</v>
      </c>
      <c r="J197" s="79" t="s">
        <v>21</v>
      </c>
      <c r="K197" s="44" t="s">
        <v>40</v>
      </c>
      <c r="L197" s="44"/>
      <c r="M197" s="44"/>
      <c r="N197" s="44"/>
      <c r="O197" s="44"/>
      <c r="P197" s="44"/>
      <c r="Q197" s="44"/>
      <c r="R197" s="44"/>
      <c r="S197" s="90"/>
    </row>
    <row r="198" spans="1:28">
      <c r="A198" s="44">
        <v>25</v>
      </c>
      <c r="B198" s="76" t="s">
        <v>31</v>
      </c>
      <c r="C198" s="77" t="s">
        <v>31</v>
      </c>
      <c r="D198" s="78">
        <v>43242.71875</v>
      </c>
      <c r="E198" s="77"/>
      <c r="F198" s="79">
        <v>0.92</v>
      </c>
      <c r="G198" s="79">
        <v>1.32</v>
      </c>
      <c r="H198" s="79">
        <v>14.48</v>
      </c>
      <c r="I198" s="79">
        <v>0</v>
      </c>
      <c r="J198" s="79">
        <v>3.14</v>
      </c>
      <c r="K198" s="44" t="s">
        <v>38</v>
      </c>
      <c r="L198" s="44"/>
      <c r="M198" s="44"/>
      <c r="N198" s="44"/>
      <c r="O198" s="44"/>
      <c r="P198" s="44"/>
      <c r="Q198" s="44"/>
      <c r="R198" s="44"/>
      <c r="S198" s="90"/>
    </row>
    <row r="199" spans="1:28" s="44" customFormat="1">
      <c r="A199" s="44">
        <v>26</v>
      </c>
      <c r="B199" s="161" t="s">
        <v>39</v>
      </c>
      <c r="C199" s="162" t="s">
        <v>33</v>
      </c>
      <c r="D199" s="163">
        <v>43243.6875</v>
      </c>
      <c r="E199" s="77">
        <v>4</v>
      </c>
      <c r="F199" s="52">
        <v>1.5</v>
      </c>
      <c r="G199" s="165">
        <v>1.53</v>
      </c>
      <c r="H199" s="79">
        <v>9.1999999999999993</v>
      </c>
      <c r="I199" s="79">
        <v>0.23</v>
      </c>
      <c r="J199" s="79">
        <v>3.77</v>
      </c>
      <c r="K199" s="44" t="s">
        <v>40</v>
      </c>
      <c r="T199" s="89"/>
    </row>
    <row r="200" spans="1:28">
      <c r="A200" s="44">
        <v>27</v>
      </c>
      <c r="B200" s="76" t="s">
        <v>39</v>
      </c>
      <c r="C200" s="77" t="s">
        <v>31</v>
      </c>
      <c r="D200" s="148">
        <v>43370.71875</v>
      </c>
      <c r="E200" s="164" t="s">
        <v>32</v>
      </c>
      <c r="F200" s="165">
        <v>1.08</v>
      </c>
      <c r="G200" s="79">
        <v>1.53</v>
      </c>
      <c r="H200" s="52">
        <v>40.380000000000003</v>
      </c>
      <c r="I200" s="79">
        <v>0.46</v>
      </c>
      <c r="J200" s="52">
        <v>2.4900000000000002</v>
      </c>
      <c r="K200" s="89" t="s">
        <v>38</v>
      </c>
      <c r="L200" s="44"/>
      <c r="M200" s="44"/>
      <c r="N200" s="44"/>
      <c r="O200" s="44"/>
      <c r="P200" s="44"/>
      <c r="Q200" s="44"/>
      <c r="R200" s="44"/>
      <c r="S200" s="44"/>
      <c r="T200" s="89"/>
    </row>
    <row r="201" spans="1:28">
      <c r="A201" s="44">
        <v>28</v>
      </c>
      <c r="B201" s="76" t="s">
        <v>39</v>
      </c>
      <c r="C201" s="77" t="s">
        <v>33</v>
      </c>
      <c r="D201" s="148">
        <v>43371.541666666664</v>
      </c>
      <c r="E201" s="77">
        <v>4</v>
      </c>
      <c r="F201" s="52">
        <v>3.05</v>
      </c>
      <c r="G201" s="165">
        <v>2.19</v>
      </c>
      <c r="H201" s="79">
        <v>44.95</v>
      </c>
      <c r="I201" s="52">
        <v>0.46</v>
      </c>
      <c r="J201" s="79">
        <v>2.4900000000000002</v>
      </c>
      <c r="K201" s="44" t="s">
        <v>40</v>
      </c>
      <c r="L201" s="44"/>
      <c r="M201" s="44"/>
      <c r="N201" s="44"/>
      <c r="O201" s="44"/>
      <c r="P201" s="44"/>
      <c r="Q201" s="44"/>
      <c r="R201" s="44"/>
      <c r="S201" s="44"/>
      <c r="T201" s="89"/>
    </row>
    <row r="202" spans="1:28">
      <c r="A202" s="44">
        <v>29</v>
      </c>
      <c r="B202" s="76" t="s">
        <v>31</v>
      </c>
      <c r="C202" s="77" t="s">
        <v>31</v>
      </c>
      <c r="D202" s="78">
        <v>43551</v>
      </c>
      <c r="E202" s="149" t="s">
        <v>32</v>
      </c>
      <c r="F202" s="79">
        <v>0.97</v>
      </c>
      <c r="G202" s="52">
        <v>3.27</v>
      </c>
      <c r="H202" s="165">
        <v>0</v>
      </c>
      <c r="I202" s="165">
        <v>0.23</v>
      </c>
      <c r="J202" s="165" t="s">
        <v>21</v>
      </c>
      <c r="K202" s="89" t="s">
        <v>38</v>
      </c>
      <c r="L202" s="44"/>
      <c r="M202" s="44"/>
      <c r="N202" s="44"/>
      <c r="O202" s="44"/>
      <c r="P202" s="44"/>
      <c r="Q202" s="44"/>
      <c r="R202" s="44"/>
      <c r="S202" s="44"/>
      <c r="T202" s="89"/>
    </row>
    <row r="203" spans="1:28">
      <c r="A203" s="44">
        <v>30</v>
      </c>
      <c r="B203" s="76" t="s">
        <v>39</v>
      </c>
      <c r="C203" s="77" t="s">
        <v>33</v>
      </c>
      <c r="D203" s="148">
        <v>43552.65625</v>
      </c>
      <c r="E203" s="77">
        <v>4</v>
      </c>
      <c r="F203" s="79">
        <v>0.97</v>
      </c>
      <c r="G203" s="79">
        <v>0</v>
      </c>
      <c r="H203" s="79">
        <v>0</v>
      </c>
      <c r="I203" s="52">
        <v>0.46</v>
      </c>
      <c r="J203" s="165" t="s">
        <v>21</v>
      </c>
      <c r="K203" s="89" t="s">
        <v>40</v>
      </c>
      <c r="L203" s="44"/>
      <c r="M203" s="44"/>
      <c r="N203" s="44"/>
      <c r="O203" s="44"/>
      <c r="P203" s="44"/>
      <c r="Q203" s="44"/>
      <c r="R203" s="44"/>
      <c r="S203" s="44"/>
      <c r="T203" s="89"/>
    </row>
    <row r="204" spans="1:28">
      <c r="A204" s="44">
        <v>31</v>
      </c>
      <c r="B204" s="76" t="s">
        <v>31</v>
      </c>
      <c r="C204" s="77" t="s">
        <v>31</v>
      </c>
      <c r="D204" s="148">
        <v>43643.760416666664</v>
      </c>
      <c r="E204" s="164" t="s">
        <v>32</v>
      </c>
      <c r="F204" s="165">
        <v>0.78</v>
      </c>
      <c r="G204" s="165">
        <v>2.37</v>
      </c>
      <c r="H204" s="165">
        <v>0</v>
      </c>
      <c r="I204" s="79">
        <v>0</v>
      </c>
      <c r="J204" s="79">
        <v>3.78</v>
      </c>
      <c r="K204" s="44" t="s">
        <v>38</v>
      </c>
      <c r="L204" s="44"/>
      <c r="M204" s="44"/>
      <c r="N204" s="44"/>
      <c r="O204" s="44"/>
      <c r="P204" s="44"/>
      <c r="Q204" s="44"/>
      <c r="R204" s="44"/>
      <c r="S204" s="44"/>
      <c r="T204" s="89"/>
    </row>
    <row r="205" spans="1:28">
      <c r="A205" s="44">
        <v>32</v>
      </c>
      <c r="B205" s="76" t="s">
        <v>39</v>
      </c>
      <c r="C205" s="77" t="s">
        <v>33</v>
      </c>
      <c r="D205" s="173">
        <v>43644.729166666664</v>
      </c>
      <c r="E205" s="77">
        <v>4</v>
      </c>
      <c r="F205" s="52">
        <v>1.35</v>
      </c>
      <c r="G205" s="165">
        <v>1.63</v>
      </c>
      <c r="H205" s="79">
        <v>16.12</v>
      </c>
      <c r="I205" s="176">
        <v>0.23</v>
      </c>
      <c r="J205" s="165">
        <v>3.78</v>
      </c>
      <c r="K205" s="177" t="s">
        <v>40</v>
      </c>
      <c r="L205" s="44"/>
      <c r="M205" s="44"/>
      <c r="N205" s="44"/>
      <c r="O205" s="32"/>
      <c r="P205" s="32"/>
      <c r="Q205" s="44"/>
      <c r="R205" s="32"/>
      <c r="S205" s="87"/>
      <c r="T205" s="89"/>
    </row>
    <row r="206" spans="1:28">
      <c r="A206" s="174"/>
      <c r="B206" s="178" t="s">
        <v>46</v>
      </c>
      <c r="C206" s="171"/>
      <c r="D206" s="32"/>
      <c r="E206" s="174"/>
      <c r="F206" s="175">
        <v>2</v>
      </c>
      <c r="G206" s="175">
        <v>3</v>
      </c>
      <c r="H206" s="175">
        <v>40</v>
      </c>
      <c r="I206" s="172">
        <v>1</v>
      </c>
      <c r="J206" s="175">
        <v>2</v>
      </c>
      <c r="K206" s="32"/>
      <c r="L206" s="171"/>
      <c r="M206" s="171"/>
      <c r="N206" s="171"/>
      <c r="O206" s="44"/>
      <c r="P206" s="44"/>
      <c r="Q206" s="171"/>
      <c r="R206" s="32"/>
      <c r="S206" s="32"/>
      <c r="T206" s="89"/>
    </row>
    <row r="207" spans="1:28">
      <c r="A207" s="84"/>
      <c r="B207" s="47" t="s">
        <v>141</v>
      </c>
      <c r="L207" s="84"/>
      <c r="M207" s="84"/>
      <c r="N207" s="84"/>
      <c r="O207" s="84"/>
      <c r="P207" s="84"/>
      <c r="Q207" s="84"/>
    </row>
    <row r="208" spans="1:28">
      <c r="B208" s="47"/>
    </row>
    <row r="209" spans="2:13" ht="14.4">
      <c r="B209" s="59" t="s">
        <v>44</v>
      </c>
      <c r="C209" s="49"/>
      <c r="D209" s="49"/>
      <c r="E209" s="49"/>
      <c r="F209" s="49"/>
    </row>
    <row r="210" spans="2:13" ht="14.4">
      <c r="B210" s="147" t="s">
        <v>184</v>
      </c>
      <c r="C210" s="49"/>
      <c r="D210" s="49"/>
      <c r="E210" s="49"/>
      <c r="F210" s="49"/>
    </row>
    <row r="211" spans="2:13" ht="13.8">
      <c r="B211" s="49"/>
      <c r="C211" s="49"/>
      <c r="D211" s="49"/>
      <c r="E211" s="49"/>
      <c r="F211" s="49"/>
    </row>
    <row r="212" spans="2:13" ht="18.600000000000001">
      <c r="B212" s="137" t="s">
        <v>162</v>
      </c>
      <c r="C212" s="138"/>
      <c r="D212" s="138"/>
      <c r="E212" s="138"/>
      <c r="F212" s="139"/>
    </row>
    <row r="213" spans="2:13" ht="38.4">
      <c r="B213" s="91" t="s">
        <v>157</v>
      </c>
      <c r="C213" s="92" t="s">
        <v>158</v>
      </c>
      <c r="D213" s="92" t="s">
        <v>159</v>
      </c>
      <c r="E213" s="92" t="s">
        <v>160</v>
      </c>
      <c r="F213" s="92" t="s">
        <v>161</v>
      </c>
    </row>
    <row r="214" spans="2:13">
      <c r="B214" s="93"/>
      <c r="C214" s="94"/>
      <c r="D214" s="94"/>
      <c r="E214" s="94"/>
      <c r="F214" s="95"/>
    </row>
    <row r="215" spans="2:13">
      <c r="B215" s="96">
        <v>1994</v>
      </c>
      <c r="C215" s="97">
        <v>2222.0843832915389</v>
      </c>
      <c r="D215" s="97">
        <v>3003.81</v>
      </c>
      <c r="E215" s="97">
        <v>54.791861904649274</v>
      </c>
      <c r="F215" s="98"/>
      <c r="G215" s="51"/>
      <c r="H215" s="51"/>
      <c r="I215" s="52"/>
      <c r="J215" s="51"/>
      <c r="K215" s="51"/>
      <c r="L215" s="51"/>
      <c r="M215" s="44"/>
    </row>
    <row r="216" spans="2:13">
      <c r="B216" s="96">
        <v>1995</v>
      </c>
      <c r="C216" s="99"/>
      <c r="D216" s="99"/>
      <c r="E216" s="100"/>
      <c r="F216" s="101"/>
      <c r="G216" s="51"/>
      <c r="H216" s="51"/>
      <c r="I216" s="51"/>
      <c r="J216" s="51"/>
      <c r="K216" s="51"/>
      <c r="L216" s="51"/>
      <c r="M216" s="44"/>
    </row>
    <row r="217" spans="2:13">
      <c r="B217" s="96">
        <v>1996</v>
      </c>
      <c r="C217" s="99"/>
      <c r="D217" s="99"/>
      <c r="E217" s="100"/>
      <c r="F217" s="101"/>
      <c r="G217" s="51"/>
      <c r="H217" s="51"/>
      <c r="I217" s="51"/>
      <c r="J217" s="51"/>
      <c r="K217" s="51"/>
      <c r="L217" s="51"/>
      <c r="M217" s="44"/>
    </row>
    <row r="218" spans="2:13">
      <c r="B218" s="96">
        <v>1997</v>
      </c>
      <c r="C218" s="99"/>
      <c r="D218" s="99"/>
      <c r="E218" s="100"/>
      <c r="F218" s="101"/>
      <c r="G218" s="48"/>
      <c r="H218" s="48"/>
      <c r="I218" s="48"/>
      <c r="J218" s="48"/>
      <c r="K218" s="48"/>
      <c r="L218" s="48"/>
      <c r="M218" s="44"/>
    </row>
    <row r="219" spans="2:13">
      <c r="B219" s="96">
        <v>1998</v>
      </c>
      <c r="C219" s="100">
        <v>2485.3771631769687</v>
      </c>
      <c r="D219" s="100"/>
      <c r="E219" s="100">
        <v>18.22137350588574</v>
      </c>
      <c r="F219" s="101"/>
      <c r="G219" s="44"/>
      <c r="H219" s="44"/>
      <c r="I219" s="53"/>
      <c r="J219" s="44"/>
      <c r="K219" s="44"/>
      <c r="L219" s="44"/>
      <c r="M219" s="44"/>
    </row>
    <row r="220" spans="2:13">
      <c r="B220" s="96">
        <v>1999</v>
      </c>
      <c r="C220" s="99"/>
      <c r="D220" s="99"/>
      <c r="E220" s="100"/>
      <c r="F220" s="101"/>
      <c r="H220" s="51"/>
    </row>
    <row r="221" spans="2:13">
      <c r="B221" s="96">
        <v>2000</v>
      </c>
      <c r="C221" s="100">
        <v>1926.4446693554355</v>
      </c>
      <c r="D221" s="100">
        <v>2518.83</v>
      </c>
      <c r="E221" s="100">
        <v>25.741545854695836</v>
      </c>
      <c r="F221" s="101"/>
      <c r="H221" s="51"/>
    </row>
    <row r="222" spans="2:13">
      <c r="B222" s="96">
        <v>2001</v>
      </c>
      <c r="C222" s="100">
        <v>1922.3262819344475</v>
      </c>
      <c r="D222" s="100">
        <v>4535.24</v>
      </c>
      <c r="E222" s="100">
        <v>35.427453125257365</v>
      </c>
      <c r="F222" s="101">
        <v>134.51</v>
      </c>
    </row>
    <row r="223" spans="2:13">
      <c r="B223" s="96">
        <v>2002</v>
      </c>
      <c r="C223" s="100">
        <v>1623.9394965183633</v>
      </c>
      <c r="D223" s="100">
        <v>2313.21</v>
      </c>
      <c r="E223" s="100">
        <v>19.728719281348329</v>
      </c>
      <c r="F223" s="98">
        <v>101.06</v>
      </c>
      <c r="H223" s="44"/>
      <c r="I223" s="46"/>
    </row>
    <row r="224" spans="2:13">
      <c r="B224" s="96">
        <v>2003</v>
      </c>
      <c r="C224" s="100">
        <v>3028.3765082825221</v>
      </c>
      <c r="D224" s="100">
        <v>4847.38</v>
      </c>
      <c r="E224" s="100">
        <v>24.814438250047878</v>
      </c>
      <c r="F224" s="98">
        <v>98.22</v>
      </c>
      <c r="H224" s="51"/>
    </row>
    <row r="225" spans="1:8">
      <c r="B225" s="96">
        <v>2004</v>
      </c>
      <c r="C225" s="100">
        <v>1985.1106979339706</v>
      </c>
      <c r="D225" s="100">
        <v>2857.06</v>
      </c>
      <c r="E225" s="100">
        <v>25.362115573097118</v>
      </c>
      <c r="F225" s="129">
        <v>149.5</v>
      </c>
      <c r="H225" s="51"/>
    </row>
    <row r="226" spans="1:8">
      <c r="B226" s="96">
        <v>2005</v>
      </c>
      <c r="C226" s="100">
        <v>2281.5334020226742</v>
      </c>
      <c r="D226" s="100">
        <v>3348.22</v>
      </c>
      <c r="E226" s="100">
        <v>44.762192547708835</v>
      </c>
      <c r="F226" s="98">
        <v>134.87</v>
      </c>
    </row>
    <row r="227" spans="1:8">
      <c r="B227" s="96">
        <v>2006</v>
      </c>
      <c r="C227" s="100">
        <v>1618.5101539767395</v>
      </c>
      <c r="D227" s="100">
        <v>2243.12</v>
      </c>
      <c r="E227" s="100">
        <v>20.179811751719015</v>
      </c>
      <c r="F227" s="98">
        <v>126.03</v>
      </c>
    </row>
    <row r="228" spans="1:8">
      <c r="B228" s="96">
        <v>2007</v>
      </c>
      <c r="C228" s="100">
        <v>1653.2557434962096</v>
      </c>
      <c r="D228" s="100">
        <v>2287.59</v>
      </c>
      <c r="E228" s="100">
        <v>23.50391415517166</v>
      </c>
      <c r="F228" s="98">
        <v>107.92</v>
      </c>
      <c r="H228" s="51"/>
    </row>
    <row r="229" spans="1:8">
      <c r="B229" s="96">
        <v>2008</v>
      </c>
      <c r="C229" s="100">
        <v>1838.7710244048719</v>
      </c>
      <c r="D229" s="100">
        <v>2494.0100000000002</v>
      </c>
      <c r="E229" s="100">
        <v>52.40313421584235</v>
      </c>
      <c r="F229" s="98">
        <v>132.82</v>
      </c>
      <c r="H229" s="51"/>
    </row>
    <row r="230" spans="1:8">
      <c r="B230" s="96">
        <v>2009</v>
      </c>
      <c r="C230" s="100">
        <v>1816.4601375427144</v>
      </c>
      <c r="D230" s="100">
        <v>2426.8000000000002</v>
      </c>
      <c r="E230" s="100">
        <v>19.545173096727943</v>
      </c>
      <c r="F230" s="98">
        <v>59.57</v>
      </c>
    </row>
    <row r="231" spans="1:8">
      <c r="B231" s="96">
        <v>2010</v>
      </c>
      <c r="C231" s="100">
        <v>2075.4152592059409</v>
      </c>
      <c r="D231" s="100">
        <v>2977.71</v>
      </c>
      <c r="E231" s="100">
        <v>24.58768100903983</v>
      </c>
      <c r="F231" s="98">
        <v>78.209999999999994</v>
      </c>
    </row>
    <row r="232" spans="1:8">
      <c r="B232" s="96">
        <v>2011</v>
      </c>
      <c r="C232" s="100">
        <v>1680.6555632365594</v>
      </c>
      <c r="D232" s="100">
        <v>2330.0500000000002</v>
      </c>
      <c r="E232" s="100">
        <v>16.212724897111489</v>
      </c>
      <c r="F232" s="98">
        <v>66.150000000000006</v>
      </c>
    </row>
    <row r="233" spans="1:8">
      <c r="B233" s="98">
        <v>2012</v>
      </c>
      <c r="C233" s="102">
        <v>1588.0500597710986</v>
      </c>
      <c r="D233" s="102">
        <v>2158.46</v>
      </c>
      <c r="E233" s="100">
        <v>16.309468730955722</v>
      </c>
      <c r="F233" s="98">
        <v>83.44</v>
      </c>
    </row>
    <row r="234" spans="1:8">
      <c r="B234" s="98">
        <v>2013</v>
      </c>
      <c r="C234" s="130">
        <v>3016.81</v>
      </c>
      <c r="D234" s="130">
        <v>3728.68</v>
      </c>
      <c r="E234" s="130">
        <v>30.77</v>
      </c>
      <c r="F234" s="131">
        <v>105.53</v>
      </c>
      <c r="H234" s="46"/>
    </row>
    <row r="235" spans="1:8">
      <c r="B235" s="98">
        <v>2014</v>
      </c>
      <c r="C235" s="102">
        <v>2711.61</v>
      </c>
      <c r="D235" s="102">
        <v>3602.36</v>
      </c>
      <c r="E235" s="102">
        <v>20.3</v>
      </c>
      <c r="F235" s="103">
        <v>79.84</v>
      </c>
      <c r="H235" s="46"/>
    </row>
    <row r="236" spans="1:8">
      <c r="B236" s="98">
        <v>2015</v>
      </c>
      <c r="C236" s="102">
        <v>2057</v>
      </c>
      <c r="D236" s="102">
        <v>3541.14</v>
      </c>
      <c r="E236" s="102">
        <v>19.739999999999998</v>
      </c>
      <c r="F236" s="136">
        <v>72.540000000000006</v>
      </c>
      <c r="G236" s="89"/>
      <c r="H236" s="46"/>
    </row>
    <row r="237" spans="1:8">
      <c r="A237" s="90"/>
      <c r="B237" s="98">
        <v>2016</v>
      </c>
      <c r="C237" s="102">
        <v>1440.43</v>
      </c>
      <c r="D237" s="102">
        <v>2645.13</v>
      </c>
      <c r="E237" s="102">
        <v>23.57</v>
      </c>
      <c r="F237" s="103">
        <v>94.43</v>
      </c>
      <c r="H237" s="46"/>
    </row>
    <row r="238" spans="1:8">
      <c r="A238" s="90"/>
      <c r="B238" s="98">
        <v>2017</v>
      </c>
      <c r="C238" s="102">
        <v>1656.02</v>
      </c>
      <c r="D238" s="102">
        <v>2369.94</v>
      </c>
      <c r="E238" s="102">
        <v>29.52</v>
      </c>
      <c r="F238" s="102">
        <v>100.3</v>
      </c>
      <c r="G238" s="89"/>
      <c r="H238" s="46"/>
    </row>
    <row r="239" spans="1:8">
      <c r="A239" s="44"/>
      <c r="B239" s="157">
        <v>2018</v>
      </c>
      <c r="C239" s="146">
        <v>1570.62</v>
      </c>
      <c r="D239" s="158">
        <v>2105.29</v>
      </c>
      <c r="E239" s="145">
        <v>28.73</v>
      </c>
      <c r="F239" s="143">
        <v>100.06</v>
      </c>
      <c r="G239" s="44"/>
      <c r="H239" s="46"/>
    </row>
    <row r="240" spans="1:8" ht="15.6">
      <c r="B240" s="182"/>
      <c r="C240" s="132"/>
      <c r="D240" s="159"/>
      <c r="E240" s="132"/>
      <c r="F240" s="160"/>
    </row>
    <row r="241" spans="2:13" ht="16.2">
      <c r="B241" s="54" t="s">
        <v>180</v>
      </c>
      <c r="C241" s="49"/>
      <c r="D241" s="49"/>
      <c r="E241" s="49"/>
      <c r="F241" s="49"/>
    </row>
    <row r="242" spans="2:13" ht="14.4">
      <c r="B242" s="54" t="s">
        <v>182</v>
      </c>
    </row>
    <row r="243" spans="2:13" ht="14.4">
      <c r="B243" s="54" t="s">
        <v>183</v>
      </c>
    </row>
    <row r="244" spans="2:13" ht="14.4">
      <c r="B244" s="54"/>
    </row>
    <row r="245" spans="2:13" ht="14.4">
      <c r="B245" s="59" t="s">
        <v>45</v>
      </c>
      <c r="C245" s="49"/>
      <c r="D245" s="49"/>
    </row>
    <row r="246" spans="2:13" ht="14.4">
      <c r="B246" s="50" t="s">
        <v>185</v>
      </c>
      <c r="C246" s="49"/>
      <c r="D246" s="49"/>
    </row>
    <row r="248" spans="2:13" ht="21">
      <c r="B248" s="55" t="s">
        <v>163</v>
      </c>
      <c r="C248" s="56"/>
      <c r="D248" s="56"/>
      <c r="E248" s="56"/>
      <c r="F248" s="56"/>
      <c r="G248" s="56"/>
      <c r="H248" s="56"/>
      <c r="I248" s="144"/>
      <c r="J248" s="57"/>
    </row>
    <row r="249" spans="2:13" ht="48">
      <c r="B249" s="104" t="s">
        <v>42</v>
      </c>
      <c r="C249" s="105" t="s">
        <v>108</v>
      </c>
      <c r="D249" s="92" t="s">
        <v>164</v>
      </c>
      <c r="E249" s="105" t="s">
        <v>107</v>
      </c>
      <c r="F249" s="92" t="s">
        <v>165</v>
      </c>
      <c r="G249" s="105" t="s">
        <v>109</v>
      </c>
      <c r="H249" s="106" t="s">
        <v>166</v>
      </c>
      <c r="I249" s="107" t="s">
        <v>110</v>
      </c>
      <c r="J249" s="105" t="s">
        <v>167</v>
      </c>
    </row>
    <row r="250" spans="2:13">
      <c r="B250" s="108"/>
      <c r="C250" s="109"/>
      <c r="D250" s="110"/>
      <c r="E250" s="111"/>
      <c r="F250" s="112"/>
      <c r="G250" s="109"/>
      <c r="H250" s="113"/>
      <c r="I250" s="114"/>
      <c r="J250" s="115"/>
      <c r="K250" s="46"/>
      <c r="M250" s="46"/>
    </row>
    <row r="251" spans="2:13">
      <c r="B251" s="116">
        <v>1994</v>
      </c>
      <c r="C251" s="117">
        <v>6.0879024199768192</v>
      </c>
      <c r="D251" s="118">
        <v>0.71025304414006185</v>
      </c>
      <c r="E251" s="117">
        <v>8.23</v>
      </c>
      <c r="F251" s="119">
        <v>0.64410000000000001</v>
      </c>
      <c r="G251" s="117">
        <v>0.15011469014972403</v>
      </c>
      <c r="H251" s="120">
        <v>0.71025304414006185</v>
      </c>
      <c r="I251" s="121" t="s">
        <v>21</v>
      </c>
      <c r="J251" s="115"/>
      <c r="M251" s="46"/>
    </row>
    <row r="252" spans="2:13">
      <c r="B252" s="116">
        <v>1995</v>
      </c>
      <c r="C252" s="122"/>
      <c r="D252" s="123"/>
      <c r="E252" s="122"/>
      <c r="F252" s="124"/>
      <c r="G252" s="122"/>
      <c r="H252" s="125"/>
      <c r="I252" s="122"/>
      <c r="J252" s="115"/>
      <c r="M252" s="46"/>
    </row>
    <row r="253" spans="2:13">
      <c r="B253" s="116">
        <v>1996</v>
      </c>
      <c r="C253" s="122"/>
      <c r="D253" s="123"/>
      <c r="E253" s="122"/>
      <c r="F253" s="124"/>
      <c r="G253" s="122"/>
      <c r="H253" s="125"/>
      <c r="I253" s="122"/>
      <c r="J253" s="115"/>
    </row>
    <row r="254" spans="2:13">
      <c r="B254" s="116">
        <v>1997</v>
      </c>
      <c r="C254" s="122"/>
      <c r="D254" s="123"/>
      <c r="E254" s="122"/>
      <c r="F254" s="124"/>
      <c r="G254" s="122"/>
      <c r="H254" s="125"/>
      <c r="I254" s="122"/>
      <c r="J254" s="115"/>
      <c r="M254" s="46"/>
    </row>
    <row r="255" spans="2:13">
      <c r="B255" s="116">
        <v>1998</v>
      </c>
      <c r="C255" s="122">
        <v>6.8092525018547088</v>
      </c>
      <c r="D255" s="125">
        <v>0.7822070015220598</v>
      </c>
      <c r="E255" s="122" t="s">
        <v>21</v>
      </c>
      <c r="F255" s="124" t="s">
        <v>21</v>
      </c>
      <c r="G255" s="122">
        <v>4.9921571249002025E-2</v>
      </c>
      <c r="H255" s="125">
        <v>0.7822070015220598</v>
      </c>
      <c r="I255" s="121" t="s">
        <v>21</v>
      </c>
      <c r="J255" s="115"/>
    </row>
    <row r="256" spans="2:13">
      <c r="B256" s="116">
        <v>1999</v>
      </c>
      <c r="C256" s="122"/>
      <c r="D256" s="125"/>
      <c r="E256" s="122"/>
      <c r="F256" s="124"/>
      <c r="G256" s="122"/>
      <c r="H256" s="125"/>
      <c r="I256" s="122"/>
      <c r="J256" s="115"/>
    </row>
    <row r="257" spans="2:13">
      <c r="B257" s="116">
        <v>2000</v>
      </c>
      <c r="C257" s="122">
        <v>5.263510025561299</v>
      </c>
      <c r="D257" s="125">
        <v>0.74153764420156754</v>
      </c>
      <c r="E257" s="122">
        <v>6.8819999999999997</v>
      </c>
      <c r="F257" s="124">
        <v>0.66500000000000004</v>
      </c>
      <c r="G257" s="122">
        <v>7.0332092499168955E-2</v>
      </c>
      <c r="H257" s="125">
        <v>0.74153764420156754</v>
      </c>
      <c r="I257" s="121" t="s">
        <v>21</v>
      </c>
      <c r="J257" s="115"/>
    </row>
    <row r="258" spans="2:13">
      <c r="B258" s="116">
        <v>2001</v>
      </c>
      <c r="C258" s="122">
        <v>5.2666473477656099</v>
      </c>
      <c r="D258" s="125">
        <v>0.80001709157786782</v>
      </c>
      <c r="E258" s="122">
        <v>12.425000000000001</v>
      </c>
      <c r="F258" s="124">
        <v>0.8</v>
      </c>
      <c r="G258" s="122">
        <v>9.7061515411664009E-2</v>
      </c>
      <c r="H258" s="125">
        <v>0.80001709157786782</v>
      </c>
      <c r="I258" s="117">
        <v>0.36899999999999999</v>
      </c>
      <c r="J258" s="126">
        <v>0.70109999999999995</v>
      </c>
      <c r="L258" s="44"/>
      <c r="M258" s="46"/>
    </row>
    <row r="259" spans="2:13">
      <c r="B259" s="116">
        <v>2002</v>
      </c>
      <c r="C259" s="122">
        <v>4.4491493055297626</v>
      </c>
      <c r="D259" s="125">
        <v>0.87774353120242776</v>
      </c>
      <c r="E259" s="122">
        <v>6.3380000000000001</v>
      </c>
      <c r="F259" s="124">
        <v>0.85809999999999997</v>
      </c>
      <c r="G259" s="122">
        <v>5.4051285702324189E-2</v>
      </c>
      <c r="H259" s="125">
        <v>0.87774353120242776</v>
      </c>
      <c r="I259" s="122">
        <v>0.27700000000000002</v>
      </c>
      <c r="J259" s="115">
        <v>0.85809999999999997</v>
      </c>
      <c r="L259" s="51"/>
    </row>
    <row r="260" spans="2:13">
      <c r="B260" s="116">
        <v>2003</v>
      </c>
      <c r="C260" s="122">
        <v>8.2969219405000612</v>
      </c>
      <c r="D260" s="125">
        <v>0.85628231227802976</v>
      </c>
      <c r="E260" s="122">
        <v>13.28</v>
      </c>
      <c r="F260" s="124">
        <v>0.73280000000000001</v>
      </c>
      <c r="G260" s="122">
        <v>6.7984762328898302E-2</v>
      </c>
      <c r="H260" s="125">
        <v>0.85628231227802976</v>
      </c>
      <c r="I260" s="122">
        <v>0.26900000000000002</v>
      </c>
      <c r="J260" s="115">
        <v>0.85629999999999995</v>
      </c>
      <c r="L260" s="51"/>
    </row>
    <row r="261" spans="2:13">
      <c r="B261" s="116">
        <v>2004</v>
      </c>
      <c r="C261" s="122">
        <v>5.4237997211310676</v>
      </c>
      <c r="D261" s="125">
        <v>0.879086944697405</v>
      </c>
      <c r="E261" s="122">
        <v>7.806</v>
      </c>
      <c r="F261" s="124">
        <v>0.87909999999999999</v>
      </c>
      <c r="G261" s="122">
        <v>6.9295397740702508E-2</v>
      </c>
      <c r="H261" s="125">
        <v>0.879086944697405</v>
      </c>
      <c r="I261" s="122">
        <v>0.40899999999999997</v>
      </c>
      <c r="J261" s="115">
        <v>0.85460000000000003</v>
      </c>
    </row>
    <row r="262" spans="2:13">
      <c r="B262" s="116">
        <v>2005</v>
      </c>
      <c r="C262" s="122">
        <v>6.2507764438977373</v>
      </c>
      <c r="D262" s="125">
        <v>0.7722583713850576</v>
      </c>
      <c r="E262" s="122">
        <v>9.173</v>
      </c>
      <c r="F262" s="124">
        <v>0.77159999999999995</v>
      </c>
      <c r="G262" s="122">
        <v>0.12263614396632558</v>
      </c>
      <c r="H262" s="125">
        <v>0.79427130898019804</v>
      </c>
      <c r="I262" s="122">
        <v>0.37</v>
      </c>
      <c r="J262" s="115">
        <v>0.57789999999999997</v>
      </c>
      <c r="M262" s="46"/>
    </row>
    <row r="263" spans="2:13">
      <c r="B263" s="116">
        <v>2006</v>
      </c>
      <c r="C263" s="122">
        <v>4.4342743944568204</v>
      </c>
      <c r="D263" s="125">
        <v>0.75070395738204176</v>
      </c>
      <c r="E263" s="122">
        <v>6.1459999999999999</v>
      </c>
      <c r="F263" s="124">
        <v>0.74629999999999996</v>
      </c>
      <c r="G263" s="122">
        <v>5.5287155484161687E-2</v>
      </c>
      <c r="H263" s="125">
        <v>0.70699200913242699</v>
      </c>
      <c r="I263" s="122">
        <v>0.34499999999999997</v>
      </c>
      <c r="J263" s="115">
        <v>0.75070000000000003</v>
      </c>
      <c r="L263" s="51"/>
    </row>
    <row r="264" spans="2:13">
      <c r="B264" s="116">
        <v>2007</v>
      </c>
      <c r="C264" s="122">
        <v>4.5294677904005738</v>
      </c>
      <c r="D264" s="125">
        <v>0.61036719939113704</v>
      </c>
      <c r="E264" s="122">
        <v>6.2670000000000003</v>
      </c>
      <c r="F264" s="124">
        <v>0.54890000000000005</v>
      </c>
      <c r="G264" s="122">
        <v>6.439428535663469E-2</v>
      </c>
      <c r="H264" s="125">
        <v>0.64889459665141103</v>
      </c>
      <c r="I264" s="122">
        <v>0.29599999999999999</v>
      </c>
      <c r="J264" s="115">
        <v>0.65159999999999996</v>
      </c>
      <c r="L264" s="51"/>
    </row>
    <row r="265" spans="2:13">
      <c r="B265" s="116">
        <v>2008</v>
      </c>
      <c r="C265" s="122">
        <v>5.0239645475542947</v>
      </c>
      <c r="D265" s="125">
        <v>0.64711027625983419</v>
      </c>
      <c r="E265" s="122">
        <v>6.8140000000000001</v>
      </c>
      <c r="F265" s="124">
        <v>0.62829999999999997</v>
      </c>
      <c r="G265" s="122">
        <v>0.14317796233836708</v>
      </c>
      <c r="H265" s="125">
        <v>0.64711027625983419</v>
      </c>
      <c r="I265" s="122">
        <v>0.36299999999999999</v>
      </c>
      <c r="J265" s="115">
        <v>0.64710000000000001</v>
      </c>
    </row>
    <row r="266" spans="2:13">
      <c r="B266" s="116">
        <v>2009</v>
      </c>
      <c r="C266" s="122">
        <v>4.9766031165553821</v>
      </c>
      <c r="D266" s="125">
        <v>0.59698820395737229</v>
      </c>
      <c r="E266" s="122">
        <v>6.649</v>
      </c>
      <c r="F266" s="124">
        <v>0.59699999999999998</v>
      </c>
      <c r="G266" s="122">
        <v>5.3548419443090252E-2</v>
      </c>
      <c r="H266" s="125">
        <v>0.59698820395737229</v>
      </c>
      <c r="I266" s="122">
        <v>0.16300000000000001</v>
      </c>
      <c r="J266" s="115">
        <v>0.59699999999999998</v>
      </c>
    </row>
    <row r="267" spans="2:13">
      <c r="B267" s="116">
        <v>2010</v>
      </c>
      <c r="C267" s="122">
        <v>5.6860692033039477</v>
      </c>
      <c r="D267" s="125">
        <v>0.814056316590553</v>
      </c>
      <c r="E267" s="122">
        <v>8.1579999999999995</v>
      </c>
      <c r="F267" s="124">
        <v>0.78639999999999999</v>
      </c>
      <c r="G267" s="122">
        <v>6.7363509613807757E-2</v>
      </c>
      <c r="H267" s="125">
        <v>0.814056316590553</v>
      </c>
      <c r="I267" s="122">
        <v>0.214</v>
      </c>
      <c r="J267" s="115">
        <v>0.81410000000000005</v>
      </c>
    </row>
    <row r="268" spans="2:13">
      <c r="B268" s="116">
        <v>2011</v>
      </c>
      <c r="C268" s="122">
        <v>4.6045357896892041</v>
      </c>
      <c r="D268" s="125">
        <v>0.58337328767123686</v>
      </c>
      <c r="E268" s="122">
        <v>6.3840000000000003</v>
      </c>
      <c r="F268" s="124">
        <v>0.58340000000000003</v>
      </c>
      <c r="G268" s="122">
        <v>4.4418424375647914E-2</v>
      </c>
      <c r="H268" s="125">
        <v>0.58337328767123686</v>
      </c>
      <c r="I268" s="122">
        <v>0.18099999999999999</v>
      </c>
      <c r="J268" s="115">
        <v>0.58340000000000003</v>
      </c>
    </row>
    <row r="269" spans="2:13">
      <c r="B269" s="116">
        <v>2012</v>
      </c>
      <c r="C269" s="122">
        <v>4.3389345895385212</v>
      </c>
      <c r="D269" s="125">
        <v>0.81708978445659919</v>
      </c>
      <c r="E269" s="122">
        <v>5.8970000000000002</v>
      </c>
      <c r="F269" s="124">
        <v>0.81710000000000005</v>
      </c>
      <c r="G269" s="122">
        <v>4.4561389975288856E-2</v>
      </c>
      <c r="H269" s="125">
        <v>0.81708978445659919</v>
      </c>
      <c r="I269" s="122">
        <v>0.22800000000000001</v>
      </c>
      <c r="J269" s="126">
        <v>0.81710000000000005</v>
      </c>
    </row>
    <row r="270" spans="2:13">
      <c r="B270" s="116">
        <v>2013</v>
      </c>
      <c r="C270" s="122">
        <v>8.2650000000000006</v>
      </c>
      <c r="D270" s="125">
        <v>0.8337</v>
      </c>
      <c r="E270" s="122">
        <v>10.215999999999999</v>
      </c>
      <c r="F270" s="124">
        <v>0.87019999999999997</v>
      </c>
      <c r="G270" s="122">
        <v>8.4000000000000005E-2</v>
      </c>
      <c r="H270" s="125">
        <v>0.87019999999999997</v>
      </c>
      <c r="I270" s="122">
        <v>0.28899999999999998</v>
      </c>
      <c r="J270" s="126">
        <v>0.87019999999999997</v>
      </c>
    </row>
    <row r="271" spans="2:13">
      <c r="B271" s="98">
        <v>2014</v>
      </c>
      <c r="C271" s="103">
        <v>7.4291</v>
      </c>
      <c r="D271" s="127">
        <v>0.9577</v>
      </c>
      <c r="E271" s="128">
        <v>9.8695000000000004</v>
      </c>
      <c r="F271" s="127">
        <v>0.95</v>
      </c>
      <c r="G271" s="103">
        <v>5.5599999999999997E-2</v>
      </c>
      <c r="H271" s="127">
        <v>0.97960000000000003</v>
      </c>
      <c r="I271" s="128">
        <v>0.21870000000000001</v>
      </c>
      <c r="J271" s="127">
        <v>0.97960000000000003</v>
      </c>
    </row>
    <row r="272" spans="2:13">
      <c r="B272" s="98">
        <v>2015</v>
      </c>
      <c r="C272" s="103">
        <v>5.6356000000000002</v>
      </c>
      <c r="D272" s="127">
        <v>0.69810000000000005</v>
      </c>
      <c r="E272" s="128">
        <v>9.7018000000000004</v>
      </c>
      <c r="F272" s="127">
        <v>0.69810000000000005</v>
      </c>
      <c r="G272" s="103">
        <v>5.4100000000000002E-2</v>
      </c>
      <c r="H272" s="127">
        <v>0.75290000000000001</v>
      </c>
      <c r="I272" s="128">
        <v>0.19869999999999999</v>
      </c>
      <c r="J272" s="127">
        <v>0.75290000000000001</v>
      </c>
    </row>
    <row r="273" spans="1:11">
      <c r="A273" s="90"/>
      <c r="B273" s="98">
        <v>2016</v>
      </c>
      <c r="C273" s="167">
        <v>3.94</v>
      </c>
      <c r="D273" s="127">
        <v>0.84260000000000002</v>
      </c>
      <c r="E273" s="168">
        <v>7.23</v>
      </c>
      <c r="F273" s="127">
        <v>0.84260000000000002</v>
      </c>
      <c r="G273" s="103">
        <v>6.4600000000000005E-2</v>
      </c>
      <c r="H273" s="127">
        <v>0.84260000000000002</v>
      </c>
      <c r="I273" s="128">
        <v>0.25869999999999999</v>
      </c>
      <c r="J273" s="127">
        <v>0.84260000000000002</v>
      </c>
    </row>
    <row r="274" spans="1:11">
      <c r="A274" s="44"/>
      <c r="B274" s="96">
        <v>2017</v>
      </c>
      <c r="C274" s="169">
        <v>4.5370478336844871</v>
      </c>
      <c r="D274" s="151">
        <v>0.68430000000000002</v>
      </c>
      <c r="E274" s="170">
        <v>6.4929740877660098</v>
      </c>
      <c r="F274" s="151">
        <v>0.68430000000000002</v>
      </c>
      <c r="G274" s="103">
        <v>8.0873249561221341E-2</v>
      </c>
      <c r="H274" s="134">
        <v>0.68430000000000002</v>
      </c>
      <c r="I274" s="170">
        <v>0.27479752774122995</v>
      </c>
      <c r="J274" s="127">
        <v>0.68430000000000002</v>
      </c>
      <c r="K274" s="89"/>
    </row>
    <row r="275" spans="1:11">
      <c r="A275" s="44"/>
      <c r="B275" s="96">
        <v>2018</v>
      </c>
      <c r="C275" s="140">
        <v>4.3</v>
      </c>
      <c r="D275" s="141">
        <v>0.71789999999999998</v>
      </c>
      <c r="E275" s="153">
        <v>5.77</v>
      </c>
      <c r="F275" s="141">
        <v>0.6956</v>
      </c>
      <c r="G275" s="140">
        <v>7.8714432316578153E-2</v>
      </c>
      <c r="H275" s="155">
        <v>0.71789193302893306</v>
      </c>
      <c r="I275" s="142">
        <v>0.27415026464196401</v>
      </c>
      <c r="J275" s="154">
        <v>0.69557077625572239</v>
      </c>
      <c r="K275" s="89"/>
    </row>
    <row r="276" spans="1:11">
      <c r="B276" s="152"/>
      <c r="C276" s="133"/>
      <c r="D276" s="134"/>
      <c r="E276" s="135"/>
      <c r="F276" s="134"/>
      <c r="G276" s="133"/>
      <c r="H276" s="134"/>
      <c r="I276" s="135"/>
      <c r="J276" s="156"/>
    </row>
    <row r="277" spans="1:11" ht="14.4">
      <c r="B277" s="58" t="s">
        <v>179</v>
      </c>
      <c r="C277" s="49"/>
      <c r="D277" s="49"/>
      <c r="E277" s="49"/>
      <c r="F277" s="49"/>
    </row>
  </sheetData>
  <sheetProtection algorithmName="SHA-512" hashValue="TrYFp7pRcIzTxt3Gkl5guajXj+9mUH3+TNXcXOepvDFWxw7YEb0GpG0tT1M20RDLma+74O2sbBF10ryvgKozgg==" saltValue="5vm9UZys2ZgMmbNU7XDlcw==" spinCount="100000" sheet="1" objects="1" scenarios="1"/>
  <mergeCells count="3">
    <mergeCell ref="I7:M7"/>
    <mergeCell ref="N7:T7"/>
    <mergeCell ref="U7:AA7"/>
  </mergeCells>
  <pageMargins left="0.7" right="0.7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shhackley</dc:creator>
  <cp:lastModifiedBy>Toy, Alison</cp:lastModifiedBy>
  <cp:lastPrinted>2014-11-14T21:03:36Z</cp:lastPrinted>
  <dcterms:created xsi:type="dcterms:W3CDTF">2014-11-12T23:45:21Z</dcterms:created>
  <dcterms:modified xsi:type="dcterms:W3CDTF">2019-10-10T23:40:53Z</dcterms:modified>
</cp:coreProperties>
</file>